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3040" windowHeight="8688" tabRatio="814" activeTab="0"/>
  </bookViews>
  <sheets>
    <sheet name="все краевые " sheetId="1" r:id="rId1"/>
    <sheet name="субсидии" sheetId="2" r:id="rId2"/>
  </sheets>
  <definedNames>
    <definedName name="_xlnm._FilterDatabase" localSheetId="0" hidden="1">'все краевые '!$A$7:$N$154</definedName>
    <definedName name="_xlnm._FilterDatabase" localSheetId="1" hidden="1">'субсидии'!$A$6:$K$6</definedName>
    <definedName name="_xlnm.Print_Titles" localSheetId="0">'все краевые '!$4:$6</definedName>
    <definedName name="_xlnm.Print_Titles" localSheetId="1">'субсидии'!$3:$5</definedName>
    <definedName name="_xlnm.Print_Area" localSheetId="1">'субсидии'!$A$1:$K$63</definedName>
  </definedNames>
  <calcPr fullCalcOnLoad="1"/>
</workbook>
</file>

<file path=xl/sharedStrings.xml><?xml version="1.0" encoding="utf-8"?>
<sst xmlns="http://schemas.openxmlformats.org/spreadsheetml/2006/main" count="360" uniqueCount="183">
  <si>
    <t>№
п/п</t>
  </si>
  <si>
    <t>1.</t>
  </si>
  <si>
    <t>2.</t>
  </si>
  <si>
    <t>Государственная программа Краснодарского края "Развитие образования"</t>
  </si>
  <si>
    <t>3.</t>
  </si>
  <si>
    <t>4.</t>
  </si>
  <si>
    <t>5.</t>
  </si>
  <si>
    <t>Государственная программа Краснодарского края "Дети Кубани"</t>
  </si>
  <si>
    <t>6.</t>
  </si>
  <si>
    <t>7.</t>
  </si>
  <si>
    <t>8.</t>
  </si>
  <si>
    <t>9.</t>
  </si>
  <si>
    <t>10.</t>
  </si>
  <si>
    <t>Государственная программа Краснодарского края "Развитие культуры"</t>
  </si>
  <si>
    <t>Наименование программы 
(блок основных мероприятий)</t>
  </si>
  <si>
    <t>1.1.</t>
  </si>
  <si>
    <t>1.2.</t>
  </si>
  <si>
    <t>1.3.</t>
  </si>
  <si>
    <t>1.4.</t>
  </si>
  <si>
    <t>1.5.</t>
  </si>
  <si>
    <t>1.6.</t>
  </si>
  <si>
    <t>Муниципальное образование Новокубанский район, всего</t>
  </si>
  <si>
    <t>Новокубанское городское поселение, всего</t>
  </si>
  <si>
    <t>2.1.</t>
  </si>
  <si>
    <t>Бесскорбненское сельское поселение, всего</t>
  </si>
  <si>
    <t>Верхнекубанское сельское поселение, всего</t>
  </si>
  <si>
    <t>4.1.</t>
  </si>
  <si>
    <t>Ковалевское сельское поселение, всего</t>
  </si>
  <si>
    <t>Новосельское сельское поселение, всего</t>
  </si>
  <si>
    <t>7.1.</t>
  </si>
  <si>
    <t>Прикубанское сельское поселение, всего</t>
  </si>
  <si>
    <t>Прочноокопское сельское поселение, всего</t>
  </si>
  <si>
    <t>Советское сельское поселение, всего</t>
  </si>
  <si>
    <t>ИТОГО по Новокубанскому району</t>
  </si>
  <si>
    <t>Государственная программа Краснодарского края  «Развитие физической культуры и массового спорта»</t>
  </si>
  <si>
    <t>ИТОГО по ПОСЕЛЕНИЯМ</t>
  </si>
  <si>
    <t>4.2.</t>
  </si>
  <si>
    <t>7.2.</t>
  </si>
  <si>
    <t>план</t>
  </si>
  <si>
    <t>факт</t>
  </si>
  <si>
    <t>Информация об участии Новокубанского района в государственных программах Краснодарского края</t>
  </si>
  <si>
    <t>Государственная программа Краснодарского края "Развитие жилищно-коммунального хозяйства"</t>
  </si>
  <si>
    <t>Мероприятия по организации оздоровления и отдыха детей</t>
  </si>
  <si>
    <t>Предоставление жилых помещений детям-сиротам и детям, оставшимся без попечения родителей</t>
  </si>
  <si>
    <t>краевой/федеральный бюджет</t>
  </si>
  <si>
    <t>местный бюджет</t>
  </si>
  <si>
    <t>Государственная программа Краснодарского края "Развитие  жилищно-коммунального хозяйства"</t>
  </si>
  <si>
    <t>1.7.</t>
  </si>
  <si>
    <t>Государственная программа Краснодарского края "Развитие Здравоохранения"</t>
  </si>
  <si>
    <t>Обеспечение выплаты компенсации части родительской платы за присмотр и уход за детьми, посещающими учреждения дошкольного образования</t>
  </si>
  <si>
    <t>Обеспечение государственных гарантий реализации прав на получение общедоступного и бесплатного образования в дошкольных и  общеобразовательных учреждениях</t>
  </si>
  <si>
    <t>Обеспечение льготным питанием учащихся из многодетных семей в общеобразовательных учреждениях</t>
  </si>
  <si>
    <t>Материально-техническое обеспечение пунктов проведения экзаменов</t>
  </si>
  <si>
    <t>Ежемесячные денежные выплаты на содержание детей-сирот и детей, оставшихся без попечения родителей, находящихся под опекой</t>
  </si>
  <si>
    <t>Ежемесячное вознаграждение, причитающееся приемным родителям за воспитание приемных детей</t>
  </si>
  <si>
    <t>Организация и осуществление деятельности по опеке и попечительству в отношении несовершеннолетних</t>
  </si>
  <si>
    <t>Создание и организация деятельности комиссий по делам несовершеннолетних и защите их прав</t>
  </si>
  <si>
    <t>Государственная программа Краснодарского края "Социальная поддержка граждан"</t>
  </si>
  <si>
    <t>Осуществление контроля за использованием детьми-сиротами и детьми, оставшимся без попечения родителей, предоставленных им жилых помещений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</si>
  <si>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</t>
  </si>
  <si>
    <t>Ведение учета граждан отдельных категорий, нуждающихся в жилых помещениях</t>
  </si>
  <si>
    <t>1.8.</t>
  </si>
  <si>
    <t>1.9.</t>
  </si>
  <si>
    <t>Государственная программа Краснодарского края  «Развитие сельского хозяйства и регулирование рынков сельскохозяйственной продукции, сырья и продовольствия»</t>
  </si>
  <si>
    <t>Поддержка сельскохозяйственного производства</t>
  </si>
  <si>
    <t>Предоставление субсидий гражданам, ведущим ЛПХ, крестьянским (фермерским) хозяйствам, ИП, осуществляющим деятельность в области сельского хозяйства</t>
  </si>
  <si>
    <t>1.11.</t>
  </si>
  <si>
    <t>% исполнения</t>
  </si>
  <si>
    <t>2.2.</t>
  </si>
  <si>
    <t>Государственная программа Краснодарского края  «Управление государственными финансами Краснодарского края»</t>
  </si>
  <si>
    <t>Дотации на выравнивание бюджетной обеспеченности</t>
  </si>
  <si>
    <t>Субсидии поселения</t>
  </si>
  <si>
    <t>Непрограммные направления расходов</t>
  </si>
  <si>
    <t>Составление (изменение) списков кандидатов в присяжные заседатели</t>
  </si>
  <si>
    <t>2.3.</t>
  </si>
  <si>
    <t>Непрограммные расходы</t>
  </si>
  <si>
    <t>Осуществление первичного воинского учета</t>
  </si>
  <si>
    <t>Образование и организация деятельности административных комиссий</t>
  </si>
  <si>
    <t>5.1.</t>
  </si>
  <si>
    <t>Ляпинское сельское поселение, всего</t>
  </si>
  <si>
    <t>9.1.</t>
  </si>
  <si>
    <t>Субсидии, всего</t>
  </si>
  <si>
    <t>Субсидии район</t>
  </si>
  <si>
    <t>Субвенции, всего</t>
  </si>
  <si>
    <t>Субвенции район</t>
  </si>
  <si>
    <t>Субвенции поселения</t>
  </si>
  <si>
    <t>Средства ЗСК, всего</t>
  </si>
  <si>
    <t>Средства ЗСК район</t>
  </si>
  <si>
    <t>Средства ЗСК поселения</t>
  </si>
  <si>
    <t>РАСХОДЫ ВСЕГО</t>
  </si>
  <si>
    <t>Наименование</t>
  </si>
  <si>
    <t>Расходы в рамках государственных программ, всего</t>
  </si>
  <si>
    <t>МО Новокубанский район</t>
  </si>
  <si>
    <t>Поселения Новокубанского района</t>
  </si>
  <si>
    <t>Непрограммные расходы, всего</t>
  </si>
  <si>
    <t>Государственная программа Краснодарского края «Управление государственными финансами Краснодарского края»</t>
  </si>
  <si>
    <t>Оплата труда инструкторов по спорту</t>
  </si>
  <si>
    <t>Обеспечение жильем молодых семей</t>
  </si>
  <si>
    <t>5.2.</t>
  </si>
  <si>
    <t>Формирование списков граждан, лишившихся жил помещ в результате ЧС</t>
  </si>
  <si>
    <t>Информация об участии Новокубанского района в государственных программах Краснодарского края (СУБСИДИИ)</t>
  </si>
  <si>
    <t>6.2</t>
  </si>
  <si>
    <t>Дотация, всего</t>
  </si>
  <si>
    <t>Дотация район</t>
  </si>
  <si>
    <t>Дотация поселения</t>
  </si>
  <si>
    <t>Организация бесплатного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</si>
  <si>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</si>
  <si>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</t>
  </si>
  <si>
    <t>Отклонение +;-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</si>
  <si>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</si>
  <si>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</si>
  <si>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Организация водоснабжения населения</t>
  </si>
  <si>
    <t>Строительство малобюджетного спортивного комплекса им.Пирогова в ст. Прочноокопской</t>
  </si>
  <si>
    <t>10.3.</t>
  </si>
  <si>
    <t>примечание</t>
  </si>
  <si>
    <t>6.1</t>
  </si>
  <si>
    <t>Государственная программа Краснодарского края "Развитие общественной инфраструктуры"</t>
  </si>
  <si>
    <t>Обращение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</si>
  <si>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</si>
  <si>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1.10.</t>
  </si>
  <si>
    <t>1.12.</t>
  </si>
  <si>
    <t>Государственная программа Краснодарского края "Комплексное и устойчивое развитие Краснодарского края в сфере строительства и архитектуры"</t>
  </si>
  <si>
    <t>Подготовка изменений в генеральные планы муниципальных образований Краснодарского края</t>
  </si>
  <si>
    <t>Обеcпечение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</si>
  <si>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Государственная поддержка отрасли культуры</t>
  </si>
  <si>
    <t>Социальной поддержки отдельным категориям работников муниципальных физкультурно-спортивных организаций отрасли «Физическая культура и спорт»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«Образование»</t>
  </si>
  <si>
    <t>тысяч рублей</t>
  </si>
  <si>
    <t>Строительство малобюджетного спортивного комплекса в п. Восход</t>
  </si>
  <si>
    <t>Примечание (текущая стадия закупочной процедуры. Срок выполнения работ по контракту. Срок оплаты по контракту)</t>
  </si>
  <si>
    <t>2.4.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</si>
  <si>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</si>
  <si>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Район</t>
  </si>
  <si>
    <t>Реконструкцию МОБУСОШ № 13 им. И.И. Зарецкого пос. Глубокого</t>
  </si>
  <si>
    <t>Выплата единовременного пособия на ремонт жилых помещений, принадлежащих детям-сиротам и детям, оставшимся без попечения родителей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</si>
  <si>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</si>
  <si>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8.1</t>
  </si>
  <si>
    <t>3.2.</t>
  </si>
  <si>
    <t>Государственная программа Краснодарского края  «Формирование современной городской среды"</t>
  </si>
  <si>
    <t>Благоустройство общественных территорий</t>
  </si>
  <si>
    <t>2.5.</t>
  </si>
  <si>
    <t>Подготовка изменений в правила землепользования и застройки муниципальных образований Краснодарского края</t>
  </si>
  <si>
    <t>8.3</t>
  </si>
  <si>
    <t>6.3</t>
  </si>
  <si>
    <t>3.4</t>
  </si>
  <si>
    <t>9.3</t>
  </si>
  <si>
    <t>Строительство малобюджетного спортивного зала шаговой доступности по ул. Молодежной в п. Восход</t>
  </si>
  <si>
    <t>Поселения</t>
  </si>
  <si>
    <t>всего</t>
  </si>
  <si>
    <t>6.5</t>
  </si>
  <si>
    <t>7.4.</t>
  </si>
  <si>
    <t>7.3.</t>
  </si>
  <si>
    <t>Обеспечение развития и укрепления материально-технической базы муниципальных домов культуры в населенных пунктах числом жителей до 50 тыс.человек</t>
  </si>
  <si>
    <t>капитальный ремонт и ремонт автомобильных дорог общего пользования местного значения</t>
  </si>
  <si>
    <t>5.3.</t>
  </si>
  <si>
    <t>2.6.</t>
  </si>
  <si>
    <t>организация водоснабжения населения</t>
  </si>
  <si>
    <t>выплата ежемесячных денежных средств на содержание детей, нуждающихся в особой заботе государства, переданных на патронатное воспитание</t>
  </si>
  <si>
    <t>выплата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</si>
  <si>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организацию водоснабжения населения</t>
  </si>
  <si>
    <t>организацию предоставления дополнительного образования детей в муниципальных образовательных организациях в части оснащения образовательных организаций в сфере культуры музыкальными инструментами, оборудованием и учебными материалами в рамках реализации регионального проекта "Культурная среда"</t>
  </si>
  <si>
    <t>Проектирование зданий офиса врача общей практики по адресу: х. Родниковский , Проектирование модульных фельдшерско-акушерских пунктов в населенных пунктах сельской местности:  с.Камышеваха</t>
  </si>
  <si>
    <t>4.3.</t>
  </si>
  <si>
    <t>Участие МО в государственных программах в 2024 году</t>
  </si>
  <si>
    <t>10.4.</t>
  </si>
  <si>
    <t>10.5.</t>
  </si>
  <si>
    <t>Дополнительная помощь местным бюджетам для решения социально значимых вопросов местного значения (приобретение звукоусилительного оборудования для нужд муниципального казенного учреждения культуры "Советский культурно-досуговый центр")</t>
  </si>
  <si>
    <t>8.2</t>
  </si>
  <si>
    <t>Государственная программа Краснодарского края "Развитие сети автомобильных дорог Краснодарского края"</t>
  </si>
  <si>
    <t>на 01.04.2024 год</t>
  </si>
  <si>
    <t>на 01.04.2024 года</t>
  </si>
  <si>
    <t>Дополнительная помощь местным бюджетам для решения социально значимых вопросов местного значения (капитальный и текущий ремонт, благоустройство территории, материально-техническое обеспечение деятельности муниципального дошкольного образовательного бюджетного учреждения детского сада №5 "Дружба" города Новокубанска муниципального образования Новокубанский район)</t>
  </si>
  <si>
    <t>Дополнительная помощь местным бюджетам для решения социально значимых вопросов местного значения (капитальный и текущий ремонт, благоустройство территории, материально-техническое обеспечение деятельности муниципального дошкольного образовательного бюджетного учреждения детского сада №31 "Солнышко" х. Ляпино муниципального образования Новокубанский район)</t>
  </si>
  <si>
    <t>Дополнительная помощь местным бюджетам для решения социально значимых вопросов местного значения (материально-техническое обеспечение деятельности структурного подразделения муниципального автономного учреждения дополнительного образования "Детская школа искусств" муниципального образования Новокубанский район в станице Советской)</t>
  </si>
  <si>
    <t>Дополнительная помощь местным бюджетам для решения социально значимых вопросов местного значения (капитальный и текущий ремонт, благоустройство территории, материально-техническое обеспечение деятельности муниципального общеобразовательного автономного учреждения средней общеобразовательной школы №4 им. А.И.Миргородского г.Новокубанска муниципального образования Новокубанский район)</t>
  </si>
  <si>
    <t>Оплата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</si>
  <si>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6.4</t>
  </si>
  <si>
    <t>Государственная программа Краснодарского края "Увековечение памяти погибших при защите Отечества на 2019 - 2024 годы"</t>
  </si>
  <si>
    <t xml:space="preserve">Реализация мероприятий по увековечиванию памяти погибших при защите Отечества </t>
  </si>
  <si>
    <t>Дополнительная помощь местным бюджетам для решения социально значимых вопросов местного значения (капитальный и текущий ремонт, материально-техническое обеспечение деятельности муниципального казенного учреждения культуры "Новосельский культурно-досуговый центр")</t>
  </si>
  <si>
    <t>Дополнительная помощь местным бюджетам для решения социально значимых вопросов местного значения (капитальный ремонт кровли муниципального спортивного зала по адресу: станица Прочноокопская, улица Ленина, 153)</t>
  </si>
  <si>
    <t>Строительство зданий офиса врача общей практики по адресу:
ст. Прочноокопская ул.Ленина, 92</t>
  </si>
  <si>
    <t>разработка проекта сметной документации объекта "Здание врачебной амбулатории в х.Родниковский Новокубанского района"</t>
  </si>
  <si>
    <t>Компенсация расходов на оплату жилых помещений, отопления и освещения педагогическим работникам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</si>
</sst>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_-* #,##0.0_р_._-;\-* #,##0.0_р_._-;_-* &quot;-&quot;?_р_._-;_-@_-"/>
    <numFmt numFmtId="168" formatCode="0000000000"/>
    <numFmt numFmtId="169" formatCode="#,##0.00_ ;\-#,##0.00\ "/>
    <numFmt numFmtId="170" formatCode="#,##0.0_ ;\-#,##0.0\ "/>
    <numFmt numFmtId="171" formatCode="#,##0.000"/>
    <numFmt numFmtId="172" formatCode="0.000"/>
    <numFmt numFmtId="173" formatCode="[$-FC19]d\ mmmm\ yyyy\ &quot;г.&quot;"/>
    <numFmt numFmtId="174" formatCode="0.0"/>
    <numFmt numFmtId="175" formatCode="#,##0.00;[Red]\-#,##0.00;0.00"/>
    <numFmt numFmtId="176" formatCode="0\.00"/>
    <numFmt numFmtId="177" formatCode="000\.00\.00"/>
    <numFmt numFmtId="178" formatCode="000"/>
    <numFmt numFmtId="179" formatCode="00\.00\.00"/>
    <numFmt numFmtId="180" formatCode="0000"/>
    <numFmt numFmtId="181" formatCode="000\.00\.000\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BC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168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68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7" borderId="10" xfId="53" applyNumberFormat="1" applyFont="1" applyFill="1" applyBorder="1" applyAlignment="1" applyProtection="1">
      <alignment horizontal="left" vertical="top" wrapText="1"/>
      <protection hidden="1"/>
    </xf>
    <xf numFmtId="0" fontId="4" fillId="7" borderId="10" xfId="53" applyNumberFormat="1" applyFont="1" applyFill="1" applyBorder="1" applyAlignment="1" applyProtection="1">
      <alignment horizontal="right" vertical="top" wrapText="1"/>
      <protection hidden="1"/>
    </xf>
    <xf numFmtId="0" fontId="4" fillId="31" borderId="10" xfId="53" applyNumberFormat="1" applyFont="1" applyFill="1" applyBorder="1" applyAlignment="1" applyProtection="1">
      <alignment horizontal="right" vertical="top" wrapText="1"/>
      <protection hidden="1"/>
    </xf>
    <xf numFmtId="0" fontId="4" fillId="0" borderId="10" xfId="53" applyNumberFormat="1" applyFont="1" applyFill="1" applyBorder="1" applyAlignment="1" applyProtection="1">
      <alignment horizontal="right" vertical="top" wrapText="1"/>
      <protection hidden="1"/>
    </xf>
    <xf numFmtId="166" fontId="4" fillId="7" borderId="10" xfId="53" applyNumberFormat="1" applyFont="1" applyFill="1" applyBorder="1" applyAlignment="1" applyProtection="1">
      <alignment horizontal="right" wrapText="1"/>
      <protection hidden="1"/>
    </xf>
    <xf numFmtId="166" fontId="3" fillId="0" borderId="10" xfId="53" applyNumberFormat="1" applyFont="1" applyFill="1" applyBorder="1" applyAlignment="1" applyProtection="1">
      <alignment horizontal="right" wrapText="1"/>
      <protection hidden="1"/>
    </xf>
    <xf numFmtId="166" fontId="3" fillId="0" borderId="10" xfId="65" applyNumberFormat="1" applyFont="1" applyFill="1" applyBorder="1" applyAlignment="1" applyProtection="1">
      <alignment horizontal="right" wrapText="1"/>
      <protection hidden="1"/>
    </xf>
    <xf numFmtId="166" fontId="4" fillId="9" borderId="10" xfId="53" applyNumberFormat="1" applyFont="1" applyFill="1" applyBorder="1" applyAlignment="1" applyProtection="1">
      <alignment horizontal="right" wrapText="1"/>
      <protection hidden="1"/>
    </xf>
    <xf numFmtId="166" fontId="4" fillId="0" borderId="10" xfId="53" applyNumberFormat="1" applyFont="1" applyFill="1" applyBorder="1" applyAlignment="1" applyProtection="1">
      <alignment horizontal="right" wrapText="1"/>
      <protection hidden="1"/>
    </xf>
    <xf numFmtId="0" fontId="4" fillId="33" borderId="10" xfId="53" applyNumberFormat="1" applyFont="1" applyFill="1" applyBorder="1" applyAlignment="1" applyProtection="1">
      <alignment horizontal="left" vertical="center" wrapText="1"/>
      <protection hidden="1"/>
    </xf>
    <xf numFmtId="166" fontId="4" fillId="33" borderId="10" xfId="65" applyNumberFormat="1" applyFont="1" applyFill="1" applyBorder="1" applyAlignment="1" applyProtection="1">
      <alignment horizontal="right" wrapText="1"/>
      <protection hidden="1"/>
    </xf>
    <xf numFmtId="166" fontId="5" fillId="33" borderId="10" xfId="0" applyNumberFormat="1" applyFont="1" applyFill="1" applyBorder="1" applyAlignment="1">
      <alignment horizontal="right"/>
    </xf>
    <xf numFmtId="166" fontId="4" fillId="9" borderId="10" xfId="0" applyNumberFormat="1" applyFont="1" applyFill="1" applyBorder="1" applyAlignment="1">
      <alignment horizontal="right"/>
    </xf>
    <xf numFmtId="170" fontId="5" fillId="31" borderId="10" xfId="0" applyNumberFormat="1" applyFont="1" applyFill="1" applyBorder="1" applyAlignment="1">
      <alignment vertical="top"/>
    </xf>
    <xf numFmtId="170" fontId="6" fillId="0" borderId="10" xfId="0" applyNumberFormat="1" applyFont="1" applyBorder="1" applyAlignment="1">
      <alignment vertical="top"/>
    </xf>
    <xf numFmtId="170" fontId="6" fillId="0" borderId="10" xfId="0" applyNumberFormat="1" applyFont="1" applyFill="1" applyBorder="1" applyAlignment="1">
      <alignment horizontal="right" vertical="top"/>
    </xf>
    <xf numFmtId="170" fontId="5" fillId="31" borderId="10" xfId="0" applyNumberFormat="1" applyFont="1" applyFill="1" applyBorder="1" applyAlignment="1">
      <alignment horizontal="right" vertical="top"/>
    </xf>
    <xf numFmtId="170" fontId="5" fillId="7" borderId="10" xfId="0" applyNumberFormat="1" applyFont="1" applyFill="1" applyBorder="1" applyAlignment="1">
      <alignment vertical="top"/>
    </xf>
    <xf numFmtId="170" fontId="5" fillId="7" borderId="10" xfId="0" applyNumberFormat="1" applyFont="1" applyFill="1" applyBorder="1" applyAlignment="1">
      <alignment horizontal="right" vertical="top"/>
    </xf>
    <xf numFmtId="166" fontId="6" fillId="0" borderId="10" xfId="0" applyNumberFormat="1" applyFont="1" applyBorder="1" applyAlignment="1">
      <alignment vertical="top"/>
    </xf>
    <xf numFmtId="167" fontId="6" fillId="0" borderId="0" xfId="0" applyNumberFormat="1" applyFont="1" applyAlignment="1">
      <alignment vertical="top"/>
    </xf>
    <xf numFmtId="166" fontId="5" fillId="31" borderId="10" xfId="0" applyNumberFormat="1" applyFont="1" applyFill="1" applyBorder="1" applyAlignment="1">
      <alignment vertical="top"/>
    </xf>
    <xf numFmtId="166" fontId="5" fillId="7" borderId="1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166" fontId="6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6" fontId="3" fillId="0" borderId="0" xfId="0" applyNumberFormat="1" applyFont="1" applyAlignment="1">
      <alignment vertical="top"/>
    </xf>
    <xf numFmtId="0" fontId="3" fillId="0" borderId="10" xfId="53" applyNumberFormat="1" applyFont="1" applyFill="1" applyBorder="1" applyAlignment="1" applyProtection="1">
      <alignment horizontal="right" vertical="top" wrapText="1"/>
      <protection hidden="1"/>
    </xf>
    <xf numFmtId="49" fontId="4" fillId="31" borderId="10" xfId="53" applyNumberFormat="1" applyFont="1" applyFill="1" applyBorder="1" applyAlignment="1" applyProtection="1">
      <alignment horizontal="right" vertical="top" wrapText="1"/>
      <protection hidden="1"/>
    </xf>
    <xf numFmtId="166" fontId="4" fillId="31" borderId="10" xfId="65" applyNumberFormat="1" applyFont="1" applyFill="1" applyBorder="1" applyAlignment="1" applyProtection="1">
      <alignment horizontal="right" wrapText="1"/>
      <protection hidden="1"/>
    </xf>
    <xf numFmtId="166" fontId="4" fillId="33" borderId="10" xfId="53" applyNumberFormat="1" applyFont="1" applyFill="1" applyBorder="1" applyAlignment="1" applyProtection="1">
      <alignment horizontal="right" wrapText="1"/>
      <protection hidden="1"/>
    </xf>
    <xf numFmtId="170" fontId="5" fillId="31" borderId="10" xfId="65" applyNumberFormat="1" applyFont="1" applyFill="1" applyBorder="1" applyAlignment="1">
      <alignment vertical="top"/>
    </xf>
    <xf numFmtId="170" fontId="5" fillId="7" borderId="10" xfId="65" applyNumberFormat="1" applyFont="1" applyFill="1" applyBorder="1" applyAlignment="1">
      <alignment vertical="top"/>
    </xf>
    <xf numFmtId="166" fontId="6" fillId="0" borderId="0" xfId="0" applyNumberFormat="1" applyFont="1" applyFill="1" applyAlignment="1">
      <alignment vertical="top"/>
    </xf>
    <xf numFmtId="0" fontId="4" fillId="31" borderId="10" xfId="53" applyNumberFormat="1" applyFont="1" applyFill="1" applyBorder="1" applyAlignment="1" applyProtection="1">
      <alignment horizontal="left" vertical="center" wrapText="1"/>
      <protection hidden="1"/>
    </xf>
    <xf numFmtId="166" fontId="4" fillId="31" borderId="10" xfId="53" applyNumberFormat="1" applyFont="1" applyFill="1" applyBorder="1" applyAlignment="1" applyProtection="1">
      <alignment horizontal="right" wrapText="1"/>
      <protection hidden="1"/>
    </xf>
    <xf numFmtId="166" fontId="4" fillId="33" borderId="10" xfId="0" applyNumberFormat="1" applyFont="1" applyFill="1" applyBorder="1" applyAlignment="1">
      <alignment horizontal="right"/>
    </xf>
    <xf numFmtId="166" fontId="3" fillId="31" borderId="10" xfId="53" applyNumberFormat="1" applyFont="1" applyFill="1" applyBorder="1" applyAlignment="1" applyProtection="1">
      <alignment horizontal="right" wrapText="1"/>
      <protection hidden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10" xfId="0" applyFont="1" applyBorder="1" applyAlignment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4" fillId="31" borderId="10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6" fillId="0" borderId="10" xfId="0" applyFont="1" applyBorder="1" applyAlignment="1">
      <alignment vertical="top"/>
    </xf>
    <xf numFmtId="0" fontId="5" fillId="33" borderId="10" xfId="0" applyFont="1" applyFill="1" applyBorder="1" applyAlignment="1">
      <alignment horizontal="right" vertical="top"/>
    </xf>
    <xf numFmtId="0" fontId="4" fillId="31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center" wrapText="1"/>
    </xf>
    <xf numFmtId="49" fontId="4" fillId="31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7" fillId="9" borderId="10" xfId="0" applyFont="1" applyFill="1" applyBorder="1" applyAlignment="1">
      <alignment horizontal="right" vertical="top"/>
    </xf>
    <xf numFmtId="0" fontId="5" fillId="31" borderId="10" xfId="0" applyFont="1" applyFill="1" applyBorder="1" applyAlignment="1">
      <alignment vertical="top"/>
    </xf>
    <xf numFmtId="0" fontId="5" fillId="7" borderId="10" xfId="0" applyFont="1" applyFill="1" applyBorder="1" applyAlignment="1">
      <alignment vertical="top"/>
    </xf>
    <xf numFmtId="0" fontId="4" fillId="31" borderId="10" xfId="53" applyFont="1" applyFill="1" applyBorder="1" applyAlignment="1" applyProtection="1">
      <alignment horizontal="right" vertical="top" wrapText="1"/>
      <protection hidden="1"/>
    </xf>
    <xf numFmtId="0" fontId="4" fillId="31" borderId="10" xfId="53" applyFont="1" applyFill="1" applyBorder="1" applyAlignment="1" applyProtection="1">
      <alignment horizontal="left" vertical="center" wrapText="1"/>
      <protection hidden="1"/>
    </xf>
    <xf numFmtId="0" fontId="4" fillId="0" borderId="10" xfId="53" applyFont="1" applyBorder="1" applyAlignment="1" applyProtection="1">
      <alignment horizontal="right" vertical="top" wrapText="1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168" fontId="3" fillId="0" borderId="11" xfId="53" applyNumberFormat="1" applyFont="1" applyBorder="1" applyAlignment="1" applyProtection="1">
      <alignment horizontal="left" vertical="center" wrapText="1"/>
      <protection hidden="1"/>
    </xf>
    <xf numFmtId="170" fontId="6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 wrapText="1"/>
    </xf>
    <xf numFmtId="166" fontId="4" fillId="0" borderId="10" xfId="65" applyNumberFormat="1" applyFont="1" applyFill="1" applyBorder="1" applyAlignment="1" applyProtection="1">
      <alignment horizontal="right" wrapText="1"/>
      <protection hidden="1"/>
    </xf>
    <xf numFmtId="170" fontId="5" fillId="0" borderId="10" xfId="0" applyNumberFormat="1" applyFont="1" applyBorder="1" applyAlignment="1">
      <alignment vertical="top"/>
    </xf>
    <xf numFmtId="166" fontId="5" fillId="0" borderId="1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8" fontId="4" fillId="31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3" applyFont="1" applyBorder="1" applyAlignment="1" applyProtection="1">
      <alignment horizontal="center" vertical="center" wrapText="1"/>
      <protection hidden="1"/>
    </xf>
    <xf numFmtId="0" fontId="4" fillId="7" borderId="10" xfId="53" applyFont="1" applyFill="1" applyBorder="1" applyAlignment="1" applyProtection="1">
      <alignment horizontal="right" vertical="top" wrapText="1"/>
      <protection hidden="1"/>
    </xf>
    <xf numFmtId="0" fontId="4" fillId="7" borderId="10" xfId="53" applyFont="1" applyFill="1" applyBorder="1" applyAlignment="1" applyProtection="1">
      <alignment horizontal="left" vertical="top" wrapText="1"/>
      <protection hidden="1"/>
    </xf>
    <xf numFmtId="166" fontId="3" fillId="0" borderId="10" xfId="53" applyNumberFormat="1" applyFont="1" applyBorder="1" applyAlignment="1" applyProtection="1">
      <alignment horizontal="right" wrapText="1"/>
      <protection hidden="1"/>
    </xf>
    <xf numFmtId="168" fontId="3" fillId="0" borderId="10" xfId="53" applyNumberFormat="1" applyFont="1" applyBorder="1" applyAlignment="1" applyProtection="1">
      <alignment horizontal="left" vertical="center" wrapText="1"/>
      <protection hidden="1"/>
    </xf>
    <xf numFmtId="166" fontId="3" fillId="34" borderId="10" xfId="65" applyNumberFormat="1" applyFont="1" applyFill="1" applyBorder="1" applyAlignment="1" applyProtection="1">
      <alignment horizontal="right" wrapText="1"/>
      <protection hidden="1"/>
    </xf>
    <xf numFmtId="0" fontId="3" fillId="0" borderId="10" xfId="53" applyFont="1" applyBorder="1" applyAlignment="1" applyProtection="1">
      <alignment horizontal="right" vertical="top" wrapText="1"/>
      <protection hidden="1"/>
    </xf>
    <xf numFmtId="0" fontId="3" fillId="0" borderId="11" xfId="53" applyFont="1" applyBorder="1" applyAlignment="1" applyProtection="1">
      <alignment horizontal="left" vertical="center" wrapText="1"/>
      <protection hidden="1"/>
    </xf>
    <xf numFmtId="0" fontId="4" fillId="33" borderId="10" xfId="53" applyFont="1" applyFill="1" applyBorder="1" applyAlignment="1" applyProtection="1">
      <alignment horizontal="left" vertical="center" wrapText="1"/>
      <protection hidden="1"/>
    </xf>
    <xf numFmtId="49" fontId="8" fillId="0" borderId="0" xfId="0" applyNumberFormat="1" applyFont="1" applyFill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9" fillId="0" borderId="0" xfId="0" applyNumberFormat="1" applyFont="1" applyFill="1" applyAlignment="1">
      <alignment vertical="top" wrapText="1"/>
    </xf>
    <xf numFmtId="0" fontId="3" fillId="0" borderId="0" xfId="0" applyFont="1" applyAlignment="1">
      <alignment horizontal="right" vertical="top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34" borderId="10" xfId="0" applyFont="1" applyFill="1" applyBorder="1" applyAlignment="1">
      <alignment horizontal="right" vertical="top"/>
    </xf>
    <xf numFmtId="0" fontId="4" fillId="9" borderId="10" xfId="0" applyFont="1" applyFill="1" applyBorder="1" applyAlignment="1">
      <alignment horizontal="right" vertical="top"/>
    </xf>
    <xf numFmtId="167" fontId="3" fillId="0" borderId="0" xfId="0" applyNumberFormat="1" applyFont="1" applyAlignment="1">
      <alignment vertical="top"/>
    </xf>
    <xf numFmtId="49" fontId="8" fillId="31" borderId="10" xfId="0" applyNumberFormat="1" applyFont="1" applyFill="1" applyBorder="1" applyAlignment="1">
      <alignment vertical="top" wrapText="1"/>
    </xf>
    <xf numFmtId="166" fontId="3" fillId="0" borderId="11" xfId="53" applyNumberFormat="1" applyFont="1" applyFill="1" applyBorder="1" applyAlignment="1" applyProtection="1">
      <alignment horizontal="right" wrapText="1"/>
      <protection hidden="1"/>
    </xf>
    <xf numFmtId="166" fontId="7" fillId="0" borderId="0" xfId="0" applyNumberFormat="1" applyFont="1" applyBorder="1" applyAlignment="1">
      <alignment horizontal="center" vertical="top" wrapText="1"/>
    </xf>
    <xf numFmtId="0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66" fontId="3" fillId="0" borderId="10" xfId="0" applyNumberFormat="1" applyFont="1" applyFill="1" applyBorder="1" applyAlignment="1">
      <alignment horizontal="right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166" fontId="4" fillId="0" borderId="11" xfId="53" applyNumberFormat="1" applyFont="1" applyFill="1" applyBorder="1" applyAlignment="1" applyProtection="1">
      <alignment horizontal="right" wrapText="1"/>
      <protection hidden="1"/>
    </xf>
    <xf numFmtId="166" fontId="3" fillId="7" borderId="10" xfId="53" applyNumberFormat="1" applyFont="1" applyFill="1" applyBorder="1" applyAlignment="1" applyProtection="1">
      <alignment horizontal="right" wrapText="1"/>
      <protection hidden="1"/>
    </xf>
    <xf numFmtId="49" fontId="3" fillId="0" borderId="10" xfId="53" applyNumberFormat="1" applyFont="1" applyFill="1" applyBorder="1" applyAlignment="1" applyProtection="1">
      <alignment horizontal="right" vertical="top" wrapText="1"/>
      <protection hidden="1"/>
    </xf>
    <xf numFmtId="49" fontId="4" fillId="0" borderId="10" xfId="53" applyNumberFormat="1" applyFont="1" applyFill="1" applyBorder="1" applyAlignment="1" applyProtection="1">
      <alignment horizontal="right" vertical="top" wrapText="1"/>
      <protection hidden="1"/>
    </xf>
    <xf numFmtId="49" fontId="4" fillId="31" borderId="10" xfId="0" applyNumberFormat="1" applyFont="1" applyFill="1" applyBorder="1" applyAlignment="1">
      <alignment horizontal="right" vertical="top" wrapText="1"/>
    </xf>
    <xf numFmtId="0" fontId="4" fillId="0" borderId="10" xfId="53" applyFont="1" applyBorder="1" applyAlignment="1" applyProtection="1">
      <alignment horizontal="center" vertical="center" wrapText="1"/>
      <protection hidden="1"/>
    </xf>
    <xf numFmtId="166" fontId="4" fillId="0" borderId="10" xfId="53" applyNumberFormat="1" applyFont="1" applyBorder="1" applyAlignment="1" applyProtection="1">
      <alignment horizontal="right" wrapText="1"/>
      <protection hidden="1"/>
    </xf>
    <xf numFmtId="166" fontId="4" fillId="0" borderId="10" xfId="0" applyNumberFormat="1" applyFont="1" applyBorder="1" applyAlignment="1">
      <alignment horizontal="right" wrapText="1"/>
    </xf>
    <xf numFmtId="166" fontId="4" fillId="0" borderId="11" xfId="53" applyNumberFormat="1" applyFont="1" applyBorder="1" applyAlignment="1" applyProtection="1">
      <alignment horizontal="right" wrapText="1"/>
      <protection hidden="1"/>
    </xf>
    <xf numFmtId="166" fontId="4" fillId="34" borderId="10" xfId="65" applyNumberFormat="1" applyFont="1" applyFill="1" applyBorder="1" applyAlignment="1" applyProtection="1">
      <alignment horizontal="right" wrapText="1"/>
      <protection hidden="1"/>
    </xf>
    <xf numFmtId="167" fontId="4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/>
    </xf>
    <xf numFmtId="49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center" vertical="top" wrapText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10" xfId="53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83"/>
  <sheetViews>
    <sheetView tabSelected="1" zoomScalePageLayoutView="0" workbookViewId="0" topLeftCell="A46">
      <selection activeCell="D50" sqref="D50"/>
    </sheetView>
  </sheetViews>
  <sheetFormatPr defaultColWidth="9.140625" defaultRowHeight="15"/>
  <cols>
    <col min="1" max="1" width="6.140625" style="28" customWidth="1"/>
    <col min="2" max="2" width="76.57421875" style="28" customWidth="1"/>
    <col min="3" max="3" width="14.421875" style="28" customWidth="1"/>
    <col min="4" max="4" width="16.8515625" style="28" customWidth="1"/>
    <col min="5" max="8" width="16.421875" style="29" customWidth="1"/>
    <col min="9" max="9" width="16.421875" style="29" hidden="1" customWidth="1"/>
    <col min="10" max="11" width="16.421875" style="29" customWidth="1"/>
    <col min="12" max="12" width="21.00390625" style="85" customWidth="1"/>
    <col min="13" max="14" width="8.8515625" style="50" customWidth="1"/>
    <col min="15" max="16384" width="8.8515625" style="28" customWidth="1"/>
  </cols>
  <sheetData>
    <row r="1" spans="1:11" ht="17.25">
      <c r="A1" s="119" t="s">
        <v>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7.25">
      <c r="A2" s="122" t="s">
        <v>168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7.25">
      <c r="A3" s="70"/>
      <c r="B3" s="70"/>
      <c r="C3" s="99"/>
      <c r="D3" s="70"/>
      <c r="E3" s="70"/>
      <c r="F3" s="99"/>
      <c r="G3" s="70"/>
      <c r="H3" s="70"/>
      <c r="I3" s="70"/>
      <c r="J3" s="70"/>
      <c r="K3" s="70"/>
    </row>
    <row r="4" spans="1:12" ht="15">
      <c r="A4" s="123" t="s">
        <v>0</v>
      </c>
      <c r="B4" s="123" t="s">
        <v>14</v>
      </c>
      <c r="C4" s="117" t="s">
        <v>162</v>
      </c>
      <c r="D4" s="117"/>
      <c r="E4" s="117"/>
      <c r="F4" s="117"/>
      <c r="G4" s="117"/>
      <c r="H4" s="117"/>
      <c r="I4" s="117" t="s">
        <v>108</v>
      </c>
      <c r="J4" s="117" t="s">
        <v>67</v>
      </c>
      <c r="K4" s="117"/>
      <c r="L4" s="118" t="s">
        <v>114</v>
      </c>
    </row>
    <row r="5" spans="1:12" ht="15">
      <c r="A5" s="123"/>
      <c r="B5" s="123"/>
      <c r="C5" s="124" t="s">
        <v>38</v>
      </c>
      <c r="D5" s="125"/>
      <c r="E5" s="126"/>
      <c r="F5" s="124" t="s">
        <v>39</v>
      </c>
      <c r="G5" s="125"/>
      <c r="H5" s="126"/>
      <c r="I5" s="117"/>
      <c r="J5" s="117"/>
      <c r="K5" s="117"/>
      <c r="L5" s="118"/>
    </row>
    <row r="6" spans="1:12" ht="30.75">
      <c r="A6" s="123"/>
      <c r="B6" s="123"/>
      <c r="C6" s="3" t="s">
        <v>147</v>
      </c>
      <c r="D6" s="3" t="s">
        <v>44</v>
      </c>
      <c r="E6" s="3" t="s">
        <v>45</v>
      </c>
      <c r="F6" s="3" t="s">
        <v>147</v>
      </c>
      <c r="G6" s="3" t="s">
        <v>44</v>
      </c>
      <c r="H6" s="3" t="s">
        <v>45</v>
      </c>
      <c r="I6" s="3" t="s">
        <v>44</v>
      </c>
      <c r="J6" s="3" t="s">
        <v>44</v>
      </c>
      <c r="K6" s="3" t="s">
        <v>45</v>
      </c>
      <c r="L6" s="118"/>
    </row>
    <row r="7" spans="1:14" s="30" customFormat="1" ht="15">
      <c r="A7" s="6" t="s">
        <v>1</v>
      </c>
      <c r="B7" s="5" t="s">
        <v>21</v>
      </c>
      <c r="C7" s="9">
        <f aca="true" t="shared" si="0" ref="C7:H7">C8+C12+C24+C35+C38+C41+C45+C48+C51+C56+C60+C62</f>
        <v>2275897.6999999993</v>
      </c>
      <c r="D7" s="9">
        <f t="shared" si="0"/>
        <v>2255251.1999999993</v>
      </c>
      <c r="E7" s="9">
        <f t="shared" si="0"/>
        <v>20646.5</v>
      </c>
      <c r="F7" s="9">
        <f t="shared" si="0"/>
        <v>417136.3</v>
      </c>
      <c r="G7" s="9">
        <f t="shared" si="0"/>
        <v>413442.4</v>
      </c>
      <c r="H7" s="9">
        <f t="shared" si="0"/>
        <v>3693.8999999999996</v>
      </c>
      <c r="I7" s="9" t="e">
        <f>I8+I12+I24+I35+I41+I48+I45+I56+I60+I62+I51+I38+#REF!+#REF!</f>
        <v>#REF!</v>
      </c>
      <c r="J7" s="9">
        <f>SUM(G7/D7*100)</f>
        <v>18.332432325055414</v>
      </c>
      <c r="K7" s="9">
        <f>SUM(H7/E7*100)</f>
        <v>17.891167994575348</v>
      </c>
      <c r="L7" s="86"/>
      <c r="M7" s="47"/>
      <c r="N7" s="47"/>
    </row>
    <row r="8" spans="1:14" s="30" customFormat="1" ht="30.75">
      <c r="A8" s="7" t="s">
        <v>15</v>
      </c>
      <c r="B8" s="39" t="s">
        <v>48</v>
      </c>
      <c r="C8" s="40">
        <f>C9+C11+C10</f>
        <v>62512.4</v>
      </c>
      <c r="D8" s="40">
        <f aca="true" t="shared" si="1" ref="D8:I8">D9+D11+D10</f>
        <v>62512.4</v>
      </c>
      <c r="E8" s="40">
        <f t="shared" si="1"/>
        <v>0</v>
      </c>
      <c r="F8" s="40">
        <f t="shared" si="1"/>
        <v>0</v>
      </c>
      <c r="G8" s="40">
        <f t="shared" si="1"/>
        <v>0</v>
      </c>
      <c r="H8" s="40">
        <f t="shared" si="1"/>
        <v>0</v>
      </c>
      <c r="I8" s="40">
        <f t="shared" si="1"/>
        <v>58162.4</v>
      </c>
      <c r="J8" s="40">
        <f aca="true" t="shared" si="2" ref="J8:J44">SUM(G8/D8*100)</f>
        <v>0</v>
      </c>
      <c r="K8" s="40">
        <v>0</v>
      </c>
      <c r="L8" s="86"/>
      <c r="M8" s="47"/>
      <c r="N8" s="47"/>
    </row>
    <row r="9" spans="1:12" s="47" customFormat="1" ht="30.75">
      <c r="A9" s="8"/>
      <c r="B9" s="1" t="s">
        <v>180</v>
      </c>
      <c r="C9" s="13">
        <f>D9+E9</f>
        <v>58162.4</v>
      </c>
      <c r="D9" s="11">
        <v>58162.4</v>
      </c>
      <c r="E9" s="10"/>
      <c r="F9" s="13">
        <f>G9+H9</f>
        <v>0</v>
      </c>
      <c r="G9" s="10"/>
      <c r="H9" s="10"/>
      <c r="I9" s="13">
        <f>SUM(D9-G9)</f>
        <v>58162.4</v>
      </c>
      <c r="J9" s="10">
        <f t="shared" si="2"/>
        <v>0</v>
      </c>
      <c r="K9" s="10">
        <v>0</v>
      </c>
      <c r="L9" s="86"/>
    </row>
    <row r="10" spans="1:12" s="47" customFormat="1" ht="30.75">
      <c r="A10" s="8"/>
      <c r="B10" s="1" t="s">
        <v>181</v>
      </c>
      <c r="C10" s="13">
        <f>D10+E10</f>
        <v>3393.8</v>
      </c>
      <c r="D10" s="11">
        <v>3393.8</v>
      </c>
      <c r="E10" s="10"/>
      <c r="F10" s="13">
        <f>G10+H10</f>
        <v>0</v>
      </c>
      <c r="G10" s="10"/>
      <c r="H10" s="10"/>
      <c r="I10" s="13"/>
      <c r="J10" s="10">
        <f>SUM(G10/D10*100)</f>
        <v>0</v>
      </c>
      <c r="K10" s="10">
        <v>0</v>
      </c>
      <c r="L10" s="86"/>
    </row>
    <row r="11" spans="1:12" s="47" customFormat="1" ht="46.5">
      <c r="A11" s="8"/>
      <c r="B11" s="1" t="s">
        <v>160</v>
      </c>
      <c r="C11" s="13">
        <f>D11+E11</f>
        <v>956.2</v>
      </c>
      <c r="D11" s="11">
        <v>956.2</v>
      </c>
      <c r="E11" s="10"/>
      <c r="F11" s="13">
        <f>G11+H11</f>
        <v>0</v>
      </c>
      <c r="G11" s="10"/>
      <c r="H11" s="10"/>
      <c r="I11" s="13"/>
      <c r="J11" s="10">
        <f>SUM(G11/D11*100)</f>
        <v>0</v>
      </c>
      <c r="K11" s="10">
        <v>0</v>
      </c>
      <c r="L11" s="86"/>
    </row>
    <row r="12" spans="1:14" s="30" customFormat="1" ht="30.75">
      <c r="A12" s="7" t="s">
        <v>16</v>
      </c>
      <c r="B12" s="39" t="s">
        <v>3</v>
      </c>
      <c r="C12" s="40">
        <f aca="true" t="shared" si="3" ref="C12:H12">C18+C19+C20+C21+C22+C14+C16+C17+C13+C15+C23</f>
        <v>1240885.7000000002</v>
      </c>
      <c r="D12" s="40">
        <f t="shared" si="3"/>
        <v>1237879.3</v>
      </c>
      <c r="E12" s="40">
        <f t="shared" si="3"/>
        <v>3006.3999999999996</v>
      </c>
      <c r="F12" s="40">
        <f t="shared" si="3"/>
        <v>294701.10000000003</v>
      </c>
      <c r="G12" s="40">
        <f t="shared" si="3"/>
        <v>292814.80000000005</v>
      </c>
      <c r="H12" s="40">
        <f t="shared" si="3"/>
        <v>1886.3</v>
      </c>
      <c r="I12" s="40" t="e">
        <f>I18+I19+I20+I21+I22+I14+I16+I17+I13+I15+I23+#REF!</f>
        <v>#REF!</v>
      </c>
      <c r="J12" s="40">
        <f t="shared" si="2"/>
        <v>23.65455178061383</v>
      </c>
      <c r="K12" s="40">
        <f>SUM(H12/E12*100)</f>
        <v>62.74281532730176</v>
      </c>
      <c r="L12" s="86"/>
      <c r="M12" s="47"/>
      <c r="N12" s="47"/>
    </row>
    <row r="13" spans="1:12" s="47" customFormat="1" ht="46.5">
      <c r="A13" s="32"/>
      <c r="B13" s="1" t="s">
        <v>118</v>
      </c>
      <c r="C13" s="13">
        <f>D13+E13</f>
        <v>3939.8</v>
      </c>
      <c r="D13" s="10">
        <v>2718.4</v>
      </c>
      <c r="E13" s="10">
        <v>1221.4</v>
      </c>
      <c r="F13" s="13">
        <f>G13+H13</f>
        <v>3573.2999999999997</v>
      </c>
      <c r="G13" s="10">
        <v>2462.7</v>
      </c>
      <c r="H13" s="10">
        <v>1110.6</v>
      </c>
      <c r="I13" s="10"/>
      <c r="J13" s="10">
        <f t="shared" si="2"/>
        <v>90.59373160682753</v>
      </c>
      <c r="K13" s="10">
        <f>SUM(H13/E13*100)</f>
        <v>90.92844277059112</v>
      </c>
      <c r="L13" s="86"/>
    </row>
    <row r="14" spans="1:12" s="47" customFormat="1" ht="46.5">
      <c r="A14" s="100"/>
      <c r="B14" s="4" t="s">
        <v>109</v>
      </c>
      <c r="C14" s="13">
        <f>D14+E14</f>
        <v>57457.3</v>
      </c>
      <c r="D14" s="10">
        <v>55733.5</v>
      </c>
      <c r="E14" s="10">
        <v>1723.8</v>
      </c>
      <c r="F14" s="13">
        <f aca="true" t="shared" si="4" ref="F14:F23">G14+H14</f>
        <v>25855.4</v>
      </c>
      <c r="G14" s="10">
        <v>25079.7</v>
      </c>
      <c r="H14" s="10">
        <v>775.7</v>
      </c>
      <c r="I14" s="13">
        <f aca="true" t="shared" si="5" ref="I14:I64">SUM(D14-G14)</f>
        <v>30653.8</v>
      </c>
      <c r="J14" s="10">
        <f t="shared" si="2"/>
        <v>44.999327155122145</v>
      </c>
      <c r="K14" s="10">
        <f>SUM(H14/E14*100)</f>
        <v>44.99941988629772</v>
      </c>
      <c r="L14" s="86"/>
    </row>
    <row r="15" spans="1:12" s="47" customFormat="1" ht="62.25">
      <c r="A15" s="100"/>
      <c r="B15" s="4" t="s">
        <v>134</v>
      </c>
      <c r="C15" s="13">
        <f aca="true" t="shared" si="6" ref="C15:C23">D15+E15</f>
        <v>2039.2</v>
      </c>
      <c r="D15" s="11">
        <v>1978</v>
      </c>
      <c r="E15" s="10">
        <v>61.2</v>
      </c>
      <c r="F15" s="13">
        <f t="shared" si="4"/>
        <v>0</v>
      </c>
      <c r="G15" s="11"/>
      <c r="H15" s="10"/>
      <c r="I15" s="13"/>
      <c r="J15" s="10">
        <f t="shared" si="2"/>
        <v>0</v>
      </c>
      <c r="K15" s="10">
        <f>SUM(H15/E15*100)</f>
        <v>0</v>
      </c>
      <c r="L15" s="86"/>
    </row>
    <row r="16" spans="1:12" s="47" customFormat="1" ht="46.5">
      <c r="A16" s="100"/>
      <c r="B16" s="4" t="s">
        <v>106</v>
      </c>
      <c r="C16" s="13">
        <f t="shared" si="6"/>
        <v>37497.6</v>
      </c>
      <c r="D16" s="10">
        <v>37497.6</v>
      </c>
      <c r="E16" s="10"/>
      <c r="F16" s="13">
        <f t="shared" si="4"/>
        <v>10077</v>
      </c>
      <c r="G16" s="10">
        <v>10077</v>
      </c>
      <c r="H16" s="10"/>
      <c r="I16" s="13">
        <f t="shared" si="5"/>
        <v>27420.6</v>
      </c>
      <c r="J16" s="10">
        <f t="shared" si="2"/>
        <v>26.873719918074755</v>
      </c>
      <c r="K16" s="10">
        <v>0</v>
      </c>
      <c r="L16" s="86"/>
    </row>
    <row r="17" spans="1:12" s="47" customFormat="1" ht="78">
      <c r="A17" s="100"/>
      <c r="B17" s="4" t="s">
        <v>123</v>
      </c>
      <c r="C17" s="13">
        <f t="shared" si="6"/>
        <v>1215.1</v>
      </c>
      <c r="D17" s="10">
        <v>1215.1</v>
      </c>
      <c r="E17" s="10"/>
      <c r="F17" s="13">
        <f t="shared" si="4"/>
        <v>579.4</v>
      </c>
      <c r="G17" s="11">
        <v>579.4</v>
      </c>
      <c r="H17" s="10"/>
      <c r="I17" s="13"/>
      <c r="J17" s="10">
        <f t="shared" si="2"/>
        <v>47.683318245411904</v>
      </c>
      <c r="K17" s="10">
        <v>0</v>
      </c>
      <c r="L17" s="86"/>
    </row>
    <row r="18" spans="1:12" s="47" customFormat="1" ht="30.75">
      <c r="A18" s="8"/>
      <c r="B18" s="4" t="s">
        <v>49</v>
      </c>
      <c r="C18" s="13">
        <f t="shared" si="6"/>
        <v>11408.4</v>
      </c>
      <c r="D18" s="11">
        <v>11408.4</v>
      </c>
      <c r="E18" s="10"/>
      <c r="F18" s="13">
        <f t="shared" si="4"/>
        <v>649.5</v>
      </c>
      <c r="G18" s="10">
        <v>649.5</v>
      </c>
      <c r="H18" s="10"/>
      <c r="I18" s="13">
        <f t="shared" si="5"/>
        <v>10758.9</v>
      </c>
      <c r="J18" s="10">
        <f t="shared" si="2"/>
        <v>5.693173451141265</v>
      </c>
      <c r="K18" s="10">
        <v>0</v>
      </c>
      <c r="L18" s="86"/>
    </row>
    <row r="19" spans="1:12" s="47" customFormat="1" ht="46.5">
      <c r="A19" s="8"/>
      <c r="B19" s="4" t="s">
        <v>50</v>
      </c>
      <c r="C19" s="13">
        <f t="shared" si="6"/>
        <v>1108864</v>
      </c>
      <c r="D19" s="11">
        <v>1108864</v>
      </c>
      <c r="E19" s="10"/>
      <c r="F19" s="13">
        <f t="shared" si="4"/>
        <v>246800</v>
      </c>
      <c r="G19" s="10">
        <v>246800</v>
      </c>
      <c r="H19" s="10"/>
      <c r="I19" s="13">
        <f t="shared" si="5"/>
        <v>862064</v>
      </c>
      <c r="J19" s="10">
        <f t="shared" si="2"/>
        <v>22.257012582246336</v>
      </c>
      <c r="K19" s="10">
        <v>0</v>
      </c>
      <c r="L19" s="86"/>
    </row>
    <row r="20" spans="1:12" s="47" customFormat="1" ht="30.75">
      <c r="A20" s="8"/>
      <c r="B20" s="4" t="s">
        <v>51</v>
      </c>
      <c r="C20" s="13">
        <f t="shared" si="6"/>
        <v>1303.7</v>
      </c>
      <c r="D20" s="10">
        <v>1303.7</v>
      </c>
      <c r="E20" s="10"/>
      <c r="F20" s="13">
        <f t="shared" si="4"/>
        <v>641.7</v>
      </c>
      <c r="G20" s="10">
        <v>641.7</v>
      </c>
      <c r="H20" s="10"/>
      <c r="I20" s="13">
        <f t="shared" si="5"/>
        <v>662</v>
      </c>
      <c r="J20" s="10">
        <f t="shared" si="2"/>
        <v>49.221446651837084</v>
      </c>
      <c r="K20" s="10">
        <v>0</v>
      </c>
      <c r="L20" s="86"/>
    </row>
    <row r="21" spans="1:12" s="47" customFormat="1" ht="15">
      <c r="A21" s="8"/>
      <c r="B21" s="4" t="s">
        <v>52</v>
      </c>
      <c r="C21" s="13">
        <f t="shared" si="6"/>
        <v>2426.3</v>
      </c>
      <c r="D21" s="10">
        <v>2426.3</v>
      </c>
      <c r="E21" s="10"/>
      <c r="F21" s="13">
        <f t="shared" si="4"/>
        <v>520</v>
      </c>
      <c r="G21" s="10">
        <v>520</v>
      </c>
      <c r="H21" s="10"/>
      <c r="I21" s="13">
        <f t="shared" si="5"/>
        <v>1906.3000000000002</v>
      </c>
      <c r="J21" s="10">
        <f t="shared" si="2"/>
        <v>21.431809751473434</v>
      </c>
      <c r="K21" s="10">
        <v>0</v>
      </c>
      <c r="L21" s="86"/>
    </row>
    <row r="22" spans="1:12" s="47" customFormat="1" ht="30.75">
      <c r="A22" s="8"/>
      <c r="B22" s="4" t="s">
        <v>182</v>
      </c>
      <c r="C22" s="13">
        <f t="shared" si="6"/>
        <v>8708.2</v>
      </c>
      <c r="D22" s="10">
        <v>8708.2</v>
      </c>
      <c r="E22" s="10"/>
      <c r="F22" s="13">
        <f t="shared" si="4"/>
        <v>4495.8</v>
      </c>
      <c r="G22" s="11">
        <v>4495.8</v>
      </c>
      <c r="H22" s="10"/>
      <c r="I22" s="13">
        <f t="shared" si="5"/>
        <v>4212.400000000001</v>
      </c>
      <c r="J22" s="10">
        <f t="shared" si="2"/>
        <v>51.627201947589626</v>
      </c>
      <c r="K22" s="10">
        <v>0</v>
      </c>
      <c r="L22" s="86"/>
    </row>
    <row r="23" spans="1:12" s="47" customFormat="1" ht="46.5">
      <c r="A23" s="8"/>
      <c r="B23" s="4" t="s">
        <v>130</v>
      </c>
      <c r="C23" s="13">
        <f t="shared" si="6"/>
        <v>6026.1</v>
      </c>
      <c r="D23" s="11">
        <v>6026.1</v>
      </c>
      <c r="E23" s="10"/>
      <c r="F23" s="13">
        <f t="shared" si="4"/>
        <v>1509</v>
      </c>
      <c r="G23" s="10">
        <v>1509</v>
      </c>
      <c r="H23" s="10"/>
      <c r="I23" s="13">
        <f t="shared" si="5"/>
        <v>4517.1</v>
      </c>
      <c r="J23" s="10">
        <f>SUM(G23/D23*100)</f>
        <v>25.04107133967242</v>
      </c>
      <c r="K23" s="10">
        <v>0</v>
      </c>
      <c r="L23" s="86"/>
    </row>
    <row r="24" spans="1:14" s="30" customFormat="1" ht="30.75">
      <c r="A24" s="7" t="s">
        <v>17</v>
      </c>
      <c r="B24" s="39" t="s">
        <v>57</v>
      </c>
      <c r="C24" s="34">
        <f aca="true" t="shared" si="7" ref="C24:H24">C25+C26+C27+C28+C31+C32+C33+C34+C29+C30</f>
        <v>115245</v>
      </c>
      <c r="D24" s="34">
        <f t="shared" si="7"/>
        <v>115245</v>
      </c>
      <c r="E24" s="34">
        <f t="shared" si="7"/>
        <v>0</v>
      </c>
      <c r="F24" s="34">
        <f t="shared" si="7"/>
        <v>21970.500000000004</v>
      </c>
      <c r="G24" s="34">
        <f t="shared" si="7"/>
        <v>21970.500000000004</v>
      </c>
      <c r="H24" s="34">
        <f t="shared" si="7"/>
        <v>0</v>
      </c>
      <c r="I24" s="34" t="e">
        <f>I25+I26+I27+I28+I31+#REF!+#REF!+I32+I33+I34</f>
        <v>#REF!</v>
      </c>
      <c r="J24" s="40">
        <f t="shared" si="2"/>
        <v>19.06416764284785</v>
      </c>
      <c r="K24" s="40">
        <v>0</v>
      </c>
      <c r="L24" s="86"/>
      <c r="M24" s="47"/>
      <c r="N24" s="47"/>
    </row>
    <row r="25" spans="1:12" s="47" customFormat="1" ht="30.75">
      <c r="A25" s="8"/>
      <c r="B25" s="1" t="s">
        <v>53</v>
      </c>
      <c r="C25" s="13">
        <f>D25+E25</f>
        <v>60683.3</v>
      </c>
      <c r="D25" s="10">
        <v>60683.3</v>
      </c>
      <c r="E25" s="11"/>
      <c r="F25" s="71">
        <f>G25+H25</f>
        <v>12803.4</v>
      </c>
      <c r="G25" s="11">
        <v>12803.4</v>
      </c>
      <c r="H25" s="11"/>
      <c r="I25" s="13">
        <f t="shared" si="5"/>
        <v>47879.9</v>
      </c>
      <c r="J25" s="10">
        <f t="shared" si="2"/>
        <v>21.09872073535882</v>
      </c>
      <c r="K25" s="10">
        <v>0</v>
      </c>
      <c r="L25" s="86"/>
    </row>
    <row r="26" spans="1:12" s="47" customFormat="1" ht="30.75">
      <c r="A26" s="8"/>
      <c r="B26" s="1" t="s">
        <v>54</v>
      </c>
      <c r="C26" s="13">
        <f aca="true" t="shared" si="8" ref="C26:C34">D26+E26</f>
        <v>41373.1</v>
      </c>
      <c r="D26" s="10">
        <v>41373.1</v>
      </c>
      <c r="E26" s="11"/>
      <c r="F26" s="71">
        <f aca="true" t="shared" si="9" ref="F26:F34">G26+H26</f>
        <v>6644</v>
      </c>
      <c r="G26" s="11">
        <v>6644</v>
      </c>
      <c r="H26" s="11"/>
      <c r="I26" s="13">
        <f t="shared" si="5"/>
        <v>34729.1</v>
      </c>
      <c r="J26" s="10">
        <f t="shared" si="2"/>
        <v>16.05874348308442</v>
      </c>
      <c r="K26" s="10">
        <v>0</v>
      </c>
      <c r="L26" s="86"/>
    </row>
    <row r="27" spans="1:12" s="47" customFormat="1" ht="30.75">
      <c r="A27" s="8"/>
      <c r="B27" s="1" t="s">
        <v>55</v>
      </c>
      <c r="C27" s="13">
        <f t="shared" si="8"/>
        <v>6428</v>
      </c>
      <c r="D27" s="10">
        <v>6428</v>
      </c>
      <c r="E27" s="11"/>
      <c r="F27" s="71">
        <f t="shared" si="9"/>
        <v>1213.5</v>
      </c>
      <c r="G27" s="11">
        <v>1213.5</v>
      </c>
      <c r="H27" s="11"/>
      <c r="I27" s="13">
        <f t="shared" si="5"/>
        <v>5214.5</v>
      </c>
      <c r="J27" s="10">
        <f t="shared" si="2"/>
        <v>18.878344741754823</v>
      </c>
      <c r="K27" s="10">
        <v>0</v>
      </c>
      <c r="L27" s="86"/>
    </row>
    <row r="28" spans="1:12" s="47" customFormat="1" ht="30.75">
      <c r="A28" s="8"/>
      <c r="B28" s="1" t="s">
        <v>56</v>
      </c>
      <c r="C28" s="13">
        <f t="shared" si="8"/>
        <v>4104.8</v>
      </c>
      <c r="D28" s="10">
        <v>4104.8</v>
      </c>
      <c r="E28" s="11"/>
      <c r="F28" s="71">
        <f t="shared" si="9"/>
        <v>923.2</v>
      </c>
      <c r="G28" s="11">
        <v>923.2</v>
      </c>
      <c r="H28" s="11"/>
      <c r="I28" s="13">
        <f t="shared" si="5"/>
        <v>3181.6000000000004</v>
      </c>
      <c r="J28" s="10">
        <f t="shared" si="2"/>
        <v>22.490742545312806</v>
      </c>
      <c r="K28" s="10">
        <v>0</v>
      </c>
      <c r="L28" s="86"/>
    </row>
    <row r="29" spans="1:12" s="47" customFormat="1" ht="46.5">
      <c r="A29" s="8"/>
      <c r="B29" s="1" t="s">
        <v>156</v>
      </c>
      <c r="C29" s="13">
        <f t="shared" si="8"/>
        <v>174.1</v>
      </c>
      <c r="D29" s="10">
        <v>174.1</v>
      </c>
      <c r="E29" s="11"/>
      <c r="F29" s="71">
        <f t="shared" si="9"/>
        <v>0</v>
      </c>
      <c r="G29" s="11"/>
      <c r="H29" s="11"/>
      <c r="I29" s="13">
        <f t="shared" si="5"/>
        <v>174.1</v>
      </c>
      <c r="J29" s="10">
        <f>SUM(G29/D29*100)</f>
        <v>0</v>
      </c>
      <c r="K29" s="10">
        <v>0</v>
      </c>
      <c r="L29" s="86"/>
    </row>
    <row r="30" spans="1:12" s="47" customFormat="1" ht="46.5">
      <c r="A30" s="8"/>
      <c r="B30" s="1" t="s">
        <v>157</v>
      </c>
      <c r="C30" s="13">
        <f t="shared" si="8"/>
        <v>184.5</v>
      </c>
      <c r="D30" s="10">
        <v>184.5</v>
      </c>
      <c r="E30" s="11"/>
      <c r="F30" s="71"/>
      <c r="G30" s="11"/>
      <c r="H30" s="11"/>
      <c r="I30" s="13"/>
      <c r="J30" s="10"/>
      <c r="K30" s="10"/>
      <c r="L30" s="86"/>
    </row>
    <row r="31" spans="1:12" s="47" customFormat="1" ht="15">
      <c r="A31" s="56"/>
      <c r="B31" s="1" t="s">
        <v>42</v>
      </c>
      <c r="C31" s="13">
        <f t="shared" si="8"/>
        <v>756</v>
      </c>
      <c r="D31" s="10">
        <v>756</v>
      </c>
      <c r="E31" s="11"/>
      <c r="F31" s="71">
        <f t="shared" si="9"/>
        <v>188.7</v>
      </c>
      <c r="G31" s="11">
        <v>188.7</v>
      </c>
      <c r="H31" s="11"/>
      <c r="I31" s="13">
        <f t="shared" si="5"/>
        <v>567.3</v>
      </c>
      <c r="J31" s="10">
        <f t="shared" si="2"/>
        <v>24.96031746031746</v>
      </c>
      <c r="K31" s="10">
        <v>0</v>
      </c>
      <c r="L31" s="86"/>
    </row>
    <row r="32" spans="1:12" s="47" customFormat="1" ht="46.5">
      <c r="A32" s="32"/>
      <c r="B32" s="1" t="s">
        <v>133</v>
      </c>
      <c r="C32" s="13">
        <f t="shared" si="8"/>
        <v>165</v>
      </c>
      <c r="D32" s="10">
        <v>165</v>
      </c>
      <c r="E32" s="11"/>
      <c r="F32" s="71">
        <f t="shared" si="9"/>
        <v>0</v>
      </c>
      <c r="G32" s="11"/>
      <c r="H32" s="11"/>
      <c r="I32" s="13">
        <f>SUM(D32-G32)</f>
        <v>165</v>
      </c>
      <c r="J32" s="10">
        <f>SUM(G32/D32*100)</f>
        <v>0</v>
      </c>
      <c r="K32" s="10">
        <v>0</v>
      </c>
      <c r="L32" s="86"/>
    </row>
    <row r="33" spans="1:12" s="47" customFormat="1" ht="62.25">
      <c r="A33" s="56"/>
      <c r="B33" s="1" t="s">
        <v>174</v>
      </c>
      <c r="C33" s="13">
        <f t="shared" si="8"/>
        <v>350.4</v>
      </c>
      <c r="D33" s="10">
        <v>350.4</v>
      </c>
      <c r="E33" s="11"/>
      <c r="F33" s="71">
        <f t="shared" si="9"/>
        <v>64</v>
      </c>
      <c r="G33" s="11">
        <v>64</v>
      </c>
      <c r="H33" s="11"/>
      <c r="I33" s="13">
        <f>SUM(D33-G33)</f>
        <v>286.4</v>
      </c>
      <c r="J33" s="10">
        <f>SUM(G33/D33*100)</f>
        <v>18.264840182648403</v>
      </c>
      <c r="K33" s="10">
        <v>0</v>
      </c>
      <c r="L33" s="86"/>
    </row>
    <row r="34" spans="1:12" s="47" customFormat="1" ht="46.5">
      <c r="A34" s="56"/>
      <c r="B34" s="1" t="s">
        <v>58</v>
      </c>
      <c r="C34" s="13">
        <f t="shared" si="8"/>
        <v>1025.8</v>
      </c>
      <c r="D34" s="10">
        <v>1025.8</v>
      </c>
      <c r="E34" s="11"/>
      <c r="F34" s="71">
        <f t="shared" si="9"/>
        <v>133.7</v>
      </c>
      <c r="G34" s="11">
        <v>133.7</v>
      </c>
      <c r="H34" s="11"/>
      <c r="I34" s="13">
        <f>SUM(D34-G34)</f>
        <v>892.0999999999999</v>
      </c>
      <c r="J34" s="10">
        <f>SUM(G34/D34*100)</f>
        <v>13.033729771885358</v>
      </c>
      <c r="K34" s="10">
        <v>0</v>
      </c>
      <c r="L34" s="86"/>
    </row>
    <row r="35" spans="1:14" s="30" customFormat="1" ht="15">
      <c r="A35" s="7" t="s">
        <v>18</v>
      </c>
      <c r="B35" s="39" t="s">
        <v>7</v>
      </c>
      <c r="C35" s="34">
        <f aca="true" t="shared" si="10" ref="C35:H35">C36+C37</f>
        <v>100182.9</v>
      </c>
      <c r="D35" s="34">
        <f t="shared" si="10"/>
        <v>100182.9</v>
      </c>
      <c r="E35" s="34">
        <f t="shared" si="10"/>
        <v>0</v>
      </c>
      <c r="F35" s="34">
        <f t="shared" si="10"/>
        <v>24764.9</v>
      </c>
      <c r="G35" s="34">
        <f t="shared" si="10"/>
        <v>24764.9</v>
      </c>
      <c r="H35" s="34">
        <f t="shared" si="10"/>
        <v>0</v>
      </c>
      <c r="I35" s="34" t="e">
        <f>#REF!+I36+#REF!+#REF!+I37</f>
        <v>#REF!</v>
      </c>
      <c r="J35" s="40">
        <f t="shared" si="2"/>
        <v>24.719687691212773</v>
      </c>
      <c r="K35" s="40">
        <v>0</v>
      </c>
      <c r="L35" s="86"/>
      <c r="M35" s="47"/>
      <c r="N35" s="47"/>
    </row>
    <row r="36" spans="1:12" s="47" customFormat="1" ht="30.75">
      <c r="A36" s="56"/>
      <c r="B36" s="1" t="s">
        <v>43</v>
      </c>
      <c r="C36" s="13">
        <f>D36+E36</f>
        <v>96056.9</v>
      </c>
      <c r="D36" s="10">
        <v>96056.9</v>
      </c>
      <c r="E36" s="11"/>
      <c r="F36" s="71">
        <f>G36+H36</f>
        <v>24764.9</v>
      </c>
      <c r="G36" s="11">
        <v>24764.9</v>
      </c>
      <c r="H36" s="11"/>
      <c r="I36" s="13">
        <f t="shared" si="5"/>
        <v>71292</v>
      </c>
      <c r="J36" s="10">
        <f t="shared" si="2"/>
        <v>25.781489929406426</v>
      </c>
      <c r="K36" s="10">
        <v>0</v>
      </c>
      <c r="L36" s="86"/>
    </row>
    <row r="37" spans="1:12" s="47" customFormat="1" ht="46.5">
      <c r="A37" s="56"/>
      <c r="B37" s="1" t="s">
        <v>110</v>
      </c>
      <c r="C37" s="13">
        <f>D37+E37</f>
        <v>4126</v>
      </c>
      <c r="D37" s="10">
        <v>4126</v>
      </c>
      <c r="E37" s="11"/>
      <c r="F37" s="71">
        <f>G37+H37</f>
        <v>0</v>
      </c>
      <c r="G37" s="11"/>
      <c r="H37" s="11"/>
      <c r="I37" s="13">
        <f t="shared" si="5"/>
        <v>4126</v>
      </c>
      <c r="J37" s="10">
        <f t="shared" si="2"/>
        <v>0</v>
      </c>
      <c r="K37" s="10">
        <v>0</v>
      </c>
      <c r="L37" s="86"/>
    </row>
    <row r="38" spans="1:14" s="30" customFormat="1" ht="46.5">
      <c r="A38" s="7" t="s">
        <v>19</v>
      </c>
      <c r="B38" s="39" t="s">
        <v>121</v>
      </c>
      <c r="C38" s="34">
        <f aca="true" t="shared" si="11" ref="C38:H38">C39+C40</f>
        <v>10662.4</v>
      </c>
      <c r="D38" s="34">
        <f t="shared" si="11"/>
        <v>10342.5</v>
      </c>
      <c r="E38" s="34">
        <f t="shared" si="11"/>
        <v>319.9</v>
      </c>
      <c r="F38" s="34">
        <f t="shared" si="11"/>
        <v>0</v>
      </c>
      <c r="G38" s="34">
        <f t="shared" si="11"/>
        <v>0</v>
      </c>
      <c r="H38" s="34">
        <f t="shared" si="11"/>
        <v>0</v>
      </c>
      <c r="I38" s="9">
        <f>SUM(D38-G38)</f>
        <v>10342.5</v>
      </c>
      <c r="J38" s="40">
        <f aca="true" t="shared" si="12" ref="J38:J43">SUM(G38/D38*100)</f>
        <v>0</v>
      </c>
      <c r="K38" s="40">
        <f>H38/E38*100</f>
        <v>0</v>
      </c>
      <c r="L38" s="86"/>
      <c r="M38" s="47"/>
      <c r="N38" s="47"/>
    </row>
    <row r="39" spans="1:12" s="47" customFormat="1" ht="30.75">
      <c r="A39" s="8"/>
      <c r="B39" s="4" t="s">
        <v>122</v>
      </c>
      <c r="C39" s="13">
        <f>D39+E39</f>
        <v>4122</v>
      </c>
      <c r="D39" s="11">
        <v>3998.3</v>
      </c>
      <c r="E39" s="11">
        <v>123.7</v>
      </c>
      <c r="F39" s="71">
        <f>G39+H39</f>
        <v>0</v>
      </c>
      <c r="G39" s="11"/>
      <c r="H39" s="11"/>
      <c r="I39" s="13">
        <f>SUM(D39-G39)</f>
        <v>3998.3</v>
      </c>
      <c r="J39" s="10">
        <f t="shared" si="12"/>
        <v>0</v>
      </c>
      <c r="K39" s="10">
        <f>H39/E39*100</f>
        <v>0</v>
      </c>
      <c r="L39" s="86"/>
    </row>
    <row r="40" spans="1:12" s="47" customFormat="1" ht="30.75">
      <c r="A40" s="8"/>
      <c r="B40" s="4" t="s">
        <v>140</v>
      </c>
      <c r="C40" s="13">
        <f>D40+E40</f>
        <v>6540.4</v>
      </c>
      <c r="D40" s="11">
        <v>6344.2</v>
      </c>
      <c r="E40" s="11">
        <v>196.2</v>
      </c>
      <c r="F40" s="71">
        <f>G40+H40</f>
        <v>0</v>
      </c>
      <c r="G40" s="11"/>
      <c r="H40" s="11"/>
      <c r="I40" s="13">
        <f>SUM(D40-G40)</f>
        <v>6344.2</v>
      </c>
      <c r="J40" s="10">
        <f t="shared" si="12"/>
        <v>0</v>
      </c>
      <c r="K40" s="10">
        <f>H40/E40*100</f>
        <v>0</v>
      </c>
      <c r="L40" s="86"/>
    </row>
    <row r="41" spans="1:14" s="30" customFormat="1" ht="15">
      <c r="A41" s="7" t="s">
        <v>20</v>
      </c>
      <c r="B41" s="39" t="s">
        <v>13</v>
      </c>
      <c r="C41" s="34">
        <f aca="true" t="shared" si="13" ref="C41:H41">C44+C42+C43</f>
        <v>4807</v>
      </c>
      <c r="D41" s="34">
        <f t="shared" si="13"/>
        <v>4330.4</v>
      </c>
      <c r="E41" s="34">
        <f t="shared" si="13"/>
        <v>476.6</v>
      </c>
      <c r="F41" s="34">
        <f t="shared" si="13"/>
        <v>1542.3</v>
      </c>
      <c r="G41" s="34">
        <f t="shared" si="13"/>
        <v>1388.9</v>
      </c>
      <c r="H41" s="34">
        <f t="shared" si="13"/>
        <v>153.4</v>
      </c>
      <c r="I41" s="9">
        <f t="shared" si="5"/>
        <v>2941.4999999999995</v>
      </c>
      <c r="J41" s="40">
        <f t="shared" si="12"/>
        <v>32.07324958433402</v>
      </c>
      <c r="K41" s="40">
        <v>0</v>
      </c>
      <c r="L41" s="86"/>
      <c r="M41" s="47"/>
      <c r="N41" s="47"/>
    </row>
    <row r="42" spans="1:12" s="47" customFormat="1" ht="15">
      <c r="A42" s="8"/>
      <c r="B42" s="4" t="s">
        <v>124</v>
      </c>
      <c r="C42" s="13">
        <f>D42+E42</f>
        <v>375.90000000000003</v>
      </c>
      <c r="D42" s="10">
        <v>338.3</v>
      </c>
      <c r="E42" s="11">
        <v>37.6</v>
      </c>
      <c r="F42" s="71">
        <f>G42+H42</f>
        <v>375.90000000000003</v>
      </c>
      <c r="G42" s="11">
        <v>338.3</v>
      </c>
      <c r="H42" s="11">
        <v>37.6</v>
      </c>
      <c r="I42" s="13">
        <f>SUM(D42-G42)</f>
        <v>0</v>
      </c>
      <c r="J42" s="10">
        <f t="shared" si="12"/>
        <v>100</v>
      </c>
      <c r="K42" s="10">
        <f>H42/E42*100</f>
        <v>100</v>
      </c>
      <c r="L42" s="86"/>
    </row>
    <row r="43" spans="1:12" s="47" customFormat="1" ht="78">
      <c r="A43" s="8"/>
      <c r="B43" s="4" t="s">
        <v>159</v>
      </c>
      <c r="C43" s="13">
        <f>D43+E43</f>
        <v>4390</v>
      </c>
      <c r="D43" s="10">
        <v>3951</v>
      </c>
      <c r="E43" s="11">
        <v>439</v>
      </c>
      <c r="F43" s="71">
        <f>G43+H43</f>
        <v>1158</v>
      </c>
      <c r="G43" s="11">
        <v>1042.2</v>
      </c>
      <c r="H43" s="11">
        <v>115.8</v>
      </c>
      <c r="I43" s="13">
        <f>SUM(D43-G43)</f>
        <v>2908.8</v>
      </c>
      <c r="J43" s="10">
        <f t="shared" si="12"/>
        <v>26.378132118451024</v>
      </c>
      <c r="K43" s="10">
        <f>H43/E43*100</f>
        <v>26.378132118451024</v>
      </c>
      <c r="L43" s="86"/>
    </row>
    <row r="44" spans="1:12" s="47" customFormat="1" ht="30.75">
      <c r="A44" s="8"/>
      <c r="B44" s="4" t="s">
        <v>182</v>
      </c>
      <c r="C44" s="13">
        <f>D44+E44</f>
        <v>41.1</v>
      </c>
      <c r="D44" s="10">
        <v>41.1</v>
      </c>
      <c r="E44" s="11"/>
      <c r="F44" s="71">
        <f>G44+H44</f>
        <v>8.4</v>
      </c>
      <c r="G44" s="11">
        <v>8.4</v>
      </c>
      <c r="H44" s="11"/>
      <c r="I44" s="13">
        <f t="shared" si="5"/>
        <v>32.7</v>
      </c>
      <c r="J44" s="10">
        <f t="shared" si="2"/>
        <v>20.437956204379564</v>
      </c>
      <c r="K44" s="10">
        <v>0</v>
      </c>
      <c r="L44" s="86"/>
    </row>
    <row r="45" spans="1:14" s="30" customFormat="1" ht="30.75">
      <c r="A45" s="7" t="s">
        <v>47</v>
      </c>
      <c r="B45" s="39" t="s">
        <v>34</v>
      </c>
      <c r="C45" s="40">
        <f aca="true" t="shared" si="14" ref="C45:I45">SUM(C46:C47)</f>
        <v>2676.9</v>
      </c>
      <c r="D45" s="40">
        <f t="shared" si="14"/>
        <v>2479.5</v>
      </c>
      <c r="E45" s="40">
        <f t="shared" si="14"/>
        <v>197.4</v>
      </c>
      <c r="F45" s="40">
        <f t="shared" si="14"/>
        <v>389.8</v>
      </c>
      <c r="G45" s="40">
        <f t="shared" si="14"/>
        <v>350.8</v>
      </c>
      <c r="H45" s="40">
        <f t="shared" si="14"/>
        <v>39</v>
      </c>
      <c r="I45" s="40">
        <f t="shared" si="14"/>
        <v>2128.7</v>
      </c>
      <c r="J45" s="40">
        <f aca="true" t="shared" si="15" ref="J45:J59">SUM(G45/D45*100)</f>
        <v>14.148013712442026</v>
      </c>
      <c r="K45" s="40">
        <f aca="true" t="shared" si="16" ref="K45:K52">SUM(H45/E45*100)</f>
        <v>19.756838905775076</v>
      </c>
      <c r="L45" s="86"/>
      <c r="M45" s="47"/>
      <c r="N45" s="47"/>
    </row>
    <row r="46" spans="1:12" s="47" customFormat="1" ht="78">
      <c r="A46" s="8"/>
      <c r="B46" s="1" t="s">
        <v>125</v>
      </c>
      <c r="C46" s="13">
        <f>D46+E46</f>
        <v>375</v>
      </c>
      <c r="D46" s="11">
        <v>375</v>
      </c>
      <c r="E46" s="11"/>
      <c r="F46" s="71">
        <f>G46+H46</f>
        <v>0</v>
      </c>
      <c r="G46" s="11"/>
      <c r="H46" s="11"/>
      <c r="I46" s="13">
        <f t="shared" si="5"/>
        <v>375</v>
      </c>
      <c r="J46" s="10">
        <f t="shared" si="15"/>
        <v>0</v>
      </c>
      <c r="K46" s="10">
        <v>0</v>
      </c>
      <c r="L46" s="86"/>
    </row>
    <row r="47" spans="1:12" s="47" customFormat="1" ht="15">
      <c r="A47" s="8"/>
      <c r="B47" s="1" t="s">
        <v>96</v>
      </c>
      <c r="C47" s="13">
        <f>D47+E47</f>
        <v>2301.9</v>
      </c>
      <c r="D47" s="11">
        <v>2104.5</v>
      </c>
      <c r="E47" s="11">
        <v>197.4</v>
      </c>
      <c r="F47" s="71">
        <f>G47+H47</f>
        <v>389.8</v>
      </c>
      <c r="G47" s="11">
        <v>350.8</v>
      </c>
      <c r="H47" s="11">
        <v>39</v>
      </c>
      <c r="I47" s="13">
        <f t="shared" si="5"/>
        <v>1753.7</v>
      </c>
      <c r="J47" s="10">
        <f t="shared" si="15"/>
        <v>16.66904252791637</v>
      </c>
      <c r="K47" s="10">
        <f t="shared" si="16"/>
        <v>19.756838905775076</v>
      </c>
      <c r="L47" s="86"/>
    </row>
    <row r="48" spans="1:14" s="30" customFormat="1" ht="30.75">
      <c r="A48" s="7" t="s">
        <v>61</v>
      </c>
      <c r="B48" s="39" t="s">
        <v>46</v>
      </c>
      <c r="C48" s="40">
        <f aca="true" t="shared" si="17" ref="C48:I48">C50+C49</f>
        <v>4635.5</v>
      </c>
      <c r="D48" s="40">
        <f t="shared" si="17"/>
        <v>3432.8</v>
      </c>
      <c r="E48" s="40">
        <f t="shared" si="17"/>
        <v>1202.7</v>
      </c>
      <c r="F48" s="40">
        <f t="shared" si="17"/>
        <v>4035.8</v>
      </c>
      <c r="G48" s="40">
        <f t="shared" si="17"/>
        <v>2833.1000000000004</v>
      </c>
      <c r="H48" s="40">
        <f t="shared" si="17"/>
        <v>1202.7</v>
      </c>
      <c r="I48" s="40">
        <f t="shared" si="17"/>
        <v>599.6999999999998</v>
      </c>
      <c r="J48" s="40">
        <f t="shared" si="15"/>
        <v>82.53029596830577</v>
      </c>
      <c r="K48" s="40">
        <f t="shared" si="16"/>
        <v>100</v>
      </c>
      <c r="L48" s="86"/>
      <c r="M48" s="47"/>
      <c r="N48" s="47"/>
    </row>
    <row r="49" spans="1:12" s="47" customFormat="1" ht="30.75">
      <c r="A49" s="56"/>
      <c r="B49" s="57" t="s">
        <v>60</v>
      </c>
      <c r="C49" s="13">
        <f>D49+E49</f>
        <v>755.8</v>
      </c>
      <c r="D49" s="101">
        <v>755.8</v>
      </c>
      <c r="E49" s="11"/>
      <c r="F49" s="13">
        <f>G49+H49</f>
        <v>156.3</v>
      </c>
      <c r="G49" s="11">
        <v>156.3</v>
      </c>
      <c r="H49" s="11"/>
      <c r="I49" s="13">
        <f t="shared" si="5"/>
        <v>599.5</v>
      </c>
      <c r="J49" s="10">
        <f t="shared" si="15"/>
        <v>20.68007409367558</v>
      </c>
      <c r="K49" s="10">
        <v>0</v>
      </c>
      <c r="L49" s="86"/>
    </row>
    <row r="50" spans="1:12" s="47" customFormat="1" ht="46.5">
      <c r="A50" s="56"/>
      <c r="B50" s="57" t="s">
        <v>59</v>
      </c>
      <c r="C50" s="13">
        <f>D50+E50</f>
        <v>3879.7</v>
      </c>
      <c r="D50" s="101">
        <v>2677</v>
      </c>
      <c r="E50" s="11">
        <v>1202.7</v>
      </c>
      <c r="F50" s="13">
        <f>G50+H50</f>
        <v>3879.5</v>
      </c>
      <c r="G50" s="101">
        <v>2676.8</v>
      </c>
      <c r="H50" s="11">
        <v>1202.7</v>
      </c>
      <c r="I50" s="13">
        <f t="shared" si="5"/>
        <v>0.1999999999998181</v>
      </c>
      <c r="J50" s="10">
        <f t="shared" si="15"/>
        <v>99.99252895031752</v>
      </c>
      <c r="K50" s="10">
        <f t="shared" si="16"/>
        <v>100</v>
      </c>
      <c r="L50" s="86"/>
    </row>
    <row r="51" spans="1:14" s="30" customFormat="1" ht="30.75">
      <c r="A51" s="7" t="s">
        <v>62</v>
      </c>
      <c r="B51" s="39" t="s">
        <v>116</v>
      </c>
      <c r="C51" s="40">
        <f aca="true" t="shared" si="18" ref="C51:H51">C52+C54+C55+C53</f>
        <v>481779.89999999997</v>
      </c>
      <c r="D51" s="40">
        <f t="shared" si="18"/>
        <v>466336.4</v>
      </c>
      <c r="E51" s="40">
        <f t="shared" si="18"/>
        <v>15443.5</v>
      </c>
      <c r="F51" s="40">
        <f t="shared" si="18"/>
        <v>13751.1</v>
      </c>
      <c r="G51" s="40">
        <f t="shared" si="18"/>
        <v>13338.6</v>
      </c>
      <c r="H51" s="40">
        <f t="shared" si="18"/>
        <v>412.5</v>
      </c>
      <c r="I51" s="9">
        <f t="shared" si="5"/>
        <v>452997.80000000005</v>
      </c>
      <c r="J51" s="40">
        <f t="shared" si="15"/>
        <v>2.8602957007001812</v>
      </c>
      <c r="K51" s="40">
        <f t="shared" si="16"/>
        <v>2.671026645514294</v>
      </c>
      <c r="L51" s="86"/>
      <c r="M51" s="47"/>
      <c r="N51" s="47"/>
    </row>
    <row r="52" spans="1:12" s="47" customFormat="1" ht="15">
      <c r="A52" s="8"/>
      <c r="B52" s="102" t="s">
        <v>132</v>
      </c>
      <c r="C52" s="103">
        <f>D52+E52</f>
        <v>284802.5</v>
      </c>
      <c r="D52" s="10">
        <v>276258.4</v>
      </c>
      <c r="E52" s="10">
        <v>8544.1</v>
      </c>
      <c r="F52" s="13">
        <f>G52+H52</f>
        <v>13751.1</v>
      </c>
      <c r="G52" s="10">
        <v>13338.6</v>
      </c>
      <c r="H52" s="10">
        <v>412.5</v>
      </c>
      <c r="I52" s="13">
        <f t="shared" si="5"/>
        <v>262919.80000000005</v>
      </c>
      <c r="J52" s="10">
        <f t="shared" si="15"/>
        <v>4.828305673239257</v>
      </c>
      <c r="K52" s="10">
        <f t="shared" si="16"/>
        <v>4.8278929319647474</v>
      </c>
      <c r="L52" s="86"/>
    </row>
    <row r="53" spans="1:12" s="47" customFormat="1" ht="15">
      <c r="A53" s="8"/>
      <c r="B53" s="102" t="s">
        <v>158</v>
      </c>
      <c r="C53" s="103">
        <f>D53+E53</f>
        <v>156805.2</v>
      </c>
      <c r="D53" s="10">
        <v>152101</v>
      </c>
      <c r="E53" s="10">
        <v>4704.2</v>
      </c>
      <c r="F53" s="13">
        <f>G53+H53</f>
        <v>0</v>
      </c>
      <c r="G53" s="10"/>
      <c r="H53" s="10"/>
      <c r="I53" s="13">
        <f t="shared" si="5"/>
        <v>152101</v>
      </c>
      <c r="J53" s="10">
        <f aca="true" t="shared" si="19" ref="J53:K55">SUM(G53/D53*100)</f>
        <v>0</v>
      </c>
      <c r="K53" s="10">
        <f t="shared" si="19"/>
        <v>0</v>
      </c>
      <c r="L53" s="86"/>
    </row>
    <row r="54" spans="1:12" s="47" customFormat="1" ht="30.75">
      <c r="A54" s="8"/>
      <c r="B54" s="102" t="s">
        <v>112</v>
      </c>
      <c r="C54" s="103">
        <f>D54+E54</f>
        <v>23172.600000000002</v>
      </c>
      <c r="D54" s="98">
        <v>22477.4</v>
      </c>
      <c r="E54" s="10">
        <v>695.2</v>
      </c>
      <c r="F54" s="13">
        <f>G54+H54</f>
        <v>0</v>
      </c>
      <c r="G54" s="10"/>
      <c r="H54" s="10"/>
      <c r="I54" s="13"/>
      <c r="J54" s="10">
        <f t="shared" si="19"/>
        <v>0</v>
      </c>
      <c r="K54" s="10">
        <f t="shared" si="19"/>
        <v>0</v>
      </c>
      <c r="L54" s="86"/>
    </row>
    <row r="55" spans="1:12" s="47" customFormat="1" ht="15">
      <c r="A55" s="8"/>
      <c r="B55" s="102" t="s">
        <v>127</v>
      </c>
      <c r="C55" s="103">
        <f>D55+E55</f>
        <v>16999.6</v>
      </c>
      <c r="D55" s="98">
        <v>15499.6</v>
      </c>
      <c r="E55" s="10">
        <v>1500</v>
      </c>
      <c r="F55" s="13">
        <f>G55+H55</f>
        <v>0</v>
      </c>
      <c r="G55" s="10"/>
      <c r="H55" s="10"/>
      <c r="I55" s="13"/>
      <c r="J55" s="10">
        <f t="shared" si="19"/>
        <v>0</v>
      </c>
      <c r="K55" s="10">
        <f t="shared" si="19"/>
        <v>0</v>
      </c>
      <c r="L55" s="86"/>
    </row>
    <row r="56" spans="1:14" s="30" customFormat="1" ht="46.5">
      <c r="A56" s="7" t="s">
        <v>119</v>
      </c>
      <c r="B56" s="39" t="s">
        <v>63</v>
      </c>
      <c r="C56" s="40">
        <f aca="true" t="shared" si="20" ref="C56:H56">SUM(C57:C59)</f>
        <v>22912.7</v>
      </c>
      <c r="D56" s="40">
        <f t="shared" si="20"/>
        <v>22912.7</v>
      </c>
      <c r="E56" s="40">
        <f t="shared" si="20"/>
        <v>0</v>
      </c>
      <c r="F56" s="40">
        <f t="shared" si="20"/>
        <v>229.1</v>
      </c>
      <c r="G56" s="40">
        <f t="shared" si="20"/>
        <v>229.1</v>
      </c>
      <c r="H56" s="40">
        <f t="shared" si="20"/>
        <v>0</v>
      </c>
      <c r="I56" s="9">
        <f t="shared" si="5"/>
        <v>22683.600000000002</v>
      </c>
      <c r="J56" s="40">
        <f t="shared" si="15"/>
        <v>0.9998821614213951</v>
      </c>
      <c r="K56" s="40">
        <v>0</v>
      </c>
      <c r="L56" s="86"/>
      <c r="M56" s="47"/>
      <c r="N56" s="47"/>
    </row>
    <row r="57" spans="1:12" s="47" customFormat="1" ht="15">
      <c r="A57" s="8"/>
      <c r="B57" s="1" t="s">
        <v>64</v>
      </c>
      <c r="C57" s="13">
        <f>D57+E57</f>
        <v>1512</v>
      </c>
      <c r="D57" s="11">
        <v>1512</v>
      </c>
      <c r="E57" s="10"/>
      <c r="F57" s="13">
        <f>G57+H57</f>
        <v>229.1</v>
      </c>
      <c r="G57" s="11">
        <v>229.1</v>
      </c>
      <c r="H57" s="11"/>
      <c r="I57" s="13">
        <f t="shared" si="5"/>
        <v>1282.9</v>
      </c>
      <c r="J57" s="10">
        <f t="shared" si="15"/>
        <v>15.152116402116404</v>
      </c>
      <c r="K57" s="10">
        <v>0</v>
      </c>
      <c r="L57" s="86"/>
    </row>
    <row r="58" spans="1:12" s="47" customFormat="1" ht="62.25">
      <c r="A58" s="8"/>
      <c r="B58" s="102" t="s">
        <v>117</v>
      </c>
      <c r="C58" s="13">
        <f>D58+E58</f>
        <v>16782.4</v>
      </c>
      <c r="D58" s="11">
        <v>16782.4</v>
      </c>
      <c r="E58" s="10"/>
      <c r="F58" s="13">
        <f>G58+H58</f>
        <v>0</v>
      </c>
      <c r="G58" s="11"/>
      <c r="H58" s="11"/>
      <c r="I58" s="13">
        <f t="shared" si="5"/>
        <v>16782.4</v>
      </c>
      <c r="J58" s="10">
        <f t="shared" si="15"/>
        <v>0</v>
      </c>
      <c r="K58" s="10">
        <v>0</v>
      </c>
      <c r="L58" s="86"/>
    </row>
    <row r="59" spans="1:12" s="47" customFormat="1" ht="46.5">
      <c r="A59" s="8"/>
      <c r="B59" s="102" t="s">
        <v>65</v>
      </c>
      <c r="C59" s="13">
        <f>D59+E59</f>
        <v>4618.3</v>
      </c>
      <c r="D59" s="11">
        <v>4618.3</v>
      </c>
      <c r="E59" s="10"/>
      <c r="F59" s="13">
        <f>G59+H59</f>
        <v>0</v>
      </c>
      <c r="G59" s="11"/>
      <c r="H59" s="11"/>
      <c r="I59" s="13">
        <f t="shared" si="5"/>
        <v>4618.3</v>
      </c>
      <c r="J59" s="10">
        <f t="shared" si="15"/>
        <v>0</v>
      </c>
      <c r="K59" s="10">
        <v>0</v>
      </c>
      <c r="L59" s="86"/>
    </row>
    <row r="60" spans="1:14" s="30" customFormat="1" ht="30.75">
      <c r="A60" s="33" t="s">
        <v>66</v>
      </c>
      <c r="B60" s="39" t="s">
        <v>69</v>
      </c>
      <c r="C60" s="34">
        <f aca="true" t="shared" si="21" ref="C60:I60">SUM(C61:C61)</f>
        <v>223006</v>
      </c>
      <c r="D60" s="34">
        <f t="shared" si="21"/>
        <v>223006</v>
      </c>
      <c r="E60" s="34">
        <f t="shared" si="21"/>
        <v>0</v>
      </c>
      <c r="F60" s="34">
        <f t="shared" si="21"/>
        <v>55751.7</v>
      </c>
      <c r="G60" s="34">
        <f t="shared" si="21"/>
        <v>55751.7</v>
      </c>
      <c r="H60" s="34">
        <f t="shared" si="21"/>
        <v>0</v>
      </c>
      <c r="I60" s="34">
        <f t="shared" si="21"/>
        <v>167254.3</v>
      </c>
      <c r="J60" s="40">
        <f>SUM(G60/D60*100)</f>
        <v>25.00008968368564</v>
      </c>
      <c r="K60" s="40">
        <v>0</v>
      </c>
      <c r="L60" s="86"/>
      <c r="M60" s="47"/>
      <c r="N60" s="47"/>
    </row>
    <row r="61" spans="1:12" s="47" customFormat="1" ht="15">
      <c r="A61" s="8"/>
      <c r="B61" s="2" t="s">
        <v>70</v>
      </c>
      <c r="C61" s="103">
        <f>D61+E61</f>
        <v>223006</v>
      </c>
      <c r="D61" s="98">
        <v>223006</v>
      </c>
      <c r="E61" s="10"/>
      <c r="F61" s="13">
        <f>G61+H61</f>
        <v>55751.7</v>
      </c>
      <c r="G61" s="10">
        <v>55751.7</v>
      </c>
      <c r="H61" s="10"/>
      <c r="I61" s="13">
        <f t="shared" si="5"/>
        <v>167254.3</v>
      </c>
      <c r="J61" s="10">
        <f>SUM(G61/D61*100)</f>
        <v>25.00008968368564</v>
      </c>
      <c r="K61" s="10">
        <v>0</v>
      </c>
      <c r="L61" s="86"/>
    </row>
    <row r="62" spans="1:14" s="30" customFormat="1" ht="15">
      <c r="A62" s="64" t="s">
        <v>120</v>
      </c>
      <c r="B62" s="39" t="s">
        <v>72</v>
      </c>
      <c r="C62" s="34">
        <f>SUM(C63:C68)</f>
        <v>6591.3</v>
      </c>
      <c r="D62" s="34">
        <f aca="true" t="shared" si="22" ref="D62:I62">SUM(D63:D68)</f>
        <v>6591.3</v>
      </c>
      <c r="E62" s="34">
        <f t="shared" si="22"/>
        <v>0</v>
      </c>
      <c r="F62" s="34">
        <f t="shared" si="22"/>
        <v>0</v>
      </c>
      <c r="G62" s="34">
        <f t="shared" si="22"/>
        <v>0</v>
      </c>
      <c r="H62" s="34">
        <f t="shared" si="22"/>
        <v>0</v>
      </c>
      <c r="I62" s="34">
        <f t="shared" si="22"/>
        <v>71.3</v>
      </c>
      <c r="J62" s="34">
        <f>J63+J64</f>
        <v>0</v>
      </c>
      <c r="K62" s="34">
        <f>K63+K64</f>
        <v>0</v>
      </c>
      <c r="L62" s="86"/>
      <c r="M62" s="47"/>
      <c r="N62" s="47"/>
    </row>
    <row r="63" spans="1:12" s="47" customFormat="1" ht="15">
      <c r="A63" s="8"/>
      <c r="B63" s="2" t="s">
        <v>73</v>
      </c>
      <c r="C63" s="103">
        <f aca="true" t="shared" si="23" ref="C63:C68">D63+E63</f>
        <v>8.3</v>
      </c>
      <c r="D63" s="11">
        <v>8.3</v>
      </c>
      <c r="E63" s="10"/>
      <c r="F63" s="13">
        <f aca="true" t="shared" si="24" ref="F63:F68">G63+H63</f>
        <v>0</v>
      </c>
      <c r="G63" s="10"/>
      <c r="H63" s="10"/>
      <c r="I63" s="13">
        <f t="shared" si="5"/>
        <v>8.3</v>
      </c>
      <c r="J63" s="10">
        <f aca="true" t="shared" si="25" ref="J63:J77">SUM(G63/D63*100)</f>
        <v>0</v>
      </c>
      <c r="K63" s="10">
        <v>0</v>
      </c>
      <c r="L63" s="86"/>
    </row>
    <row r="64" spans="1:12" s="47" customFormat="1" ht="15">
      <c r="A64" s="8"/>
      <c r="B64" s="2" t="s">
        <v>99</v>
      </c>
      <c r="C64" s="103">
        <f t="shared" si="23"/>
        <v>63</v>
      </c>
      <c r="D64" s="11">
        <v>63</v>
      </c>
      <c r="E64" s="10"/>
      <c r="F64" s="13">
        <f t="shared" si="24"/>
        <v>0</v>
      </c>
      <c r="G64" s="10"/>
      <c r="H64" s="10"/>
      <c r="I64" s="13">
        <f t="shared" si="5"/>
        <v>63</v>
      </c>
      <c r="J64" s="10">
        <f t="shared" si="25"/>
        <v>0</v>
      </c>
      <c r="K64" s="10">
        <v>0</v>
      </c>
      <c r="L64" s="86"/>
    </row>
    <row r="65" spans="1:12" s="47" customFormat="1" ht="108.75">
      <c r="A65" s="8"/>
      <c r="B65" s="2" t="s">
        <v>173</v>
      </c>
      <c r="C65" s="103">
        <f t="shared" si="23"/>
        <v>2200</v>
      </c>
      <c r="D65" s="11">
        <v>2200</v>
      </c>
      <c r="E65" s="10"/>
      <c r="F65" s="13">
        <f t="shared" si="24"/>
        <v>0</v>
      </c>
      <c r="G65" s="10"/>
      <c r="H65" s="10"/>
      <c r="I65" s="13"/>
      <c r="J65" s="10">
        <f t="shared" si="25"/>
        <v>0</v>
      </c>
      <c r="K65" s="10"/>
      <c r="L65" s="86"/>
    </row>
    <row r="66" spans="1:12" s="47" customFormat="1" ht="93">
      <c r="A66" s="8"/>
      <c r="B66" s="2" t="s">
        <v>170</v>
      </c>
      <c r="C66" s="103">
        <f t="shared" si="23"/>
        <v>2120</v>
      </c>
      <c r="D66" s="11">
        <v>2120</v>
      </c>
      <c r="E66" s="10"/>
      <c r="F66" s="13">
        <f t="shared" si="24"/>
        <v>0</v>
      </c>
      <c r="G66" s="10"/>
      <c r="H66" s="10"/>
      <c r="I66" s="13"/>
      <c r="J66" s="10">
        <f t="shared" si="25"/>
        <v>0</v>
      </c>
      <c r="K66" s="10">
        <v>0</v>
      </c>
      <c r="L66" s="86"/>
    </row>
    <row r="67" spans="1:12" s="47" customFormat="1" ht="93">
      <c r="A67" s="8"/>
      <c r="B67" s="2" t="s">
        <v>171</v>
      </c>
      <c r="C67" s="103">
        <f t="shared" si="23"/>
        <v>2000</v>
      </c>
      <c r="D67" s="11">
        <v>2000</v>
      </c>
      <c r="E67" s="10"/>
      <c r="F67" s="13">
        <f t="shared" si="24"/>
        <v>0</v>
      </c>
      <c r="G67" s="10"/>
      <c r="H67" s="10"/>
      <c r="I67" s="13"/>
      <c r="J67" s="10">
        <f t="shared" si="25"/>
        <v>0</v>
      </c>
      <c r="K67" s="10">
        <v>0</v>
      </c>
      <c r="L67" s="86"/>
    </row>
    <row r="68" spans="1:12" s="47" customFormat="1" ht="93">
      <c r="A68" s="8"/>
      <c r="B68" s="2" t="s">
        <v>172</v>
      </c>
      <c r="C68" s="103">
        <f t="shared" si="23"/>
        <v>200</v>
      </c>
      <c r="D68" s="11">
        <v>200</v>
      </c>
      <c r="E68" s="10"/>
      <c r="F68" s="13">
        <f t="shared" si="24"/>
        <v>0</v>
      </c>
      <c r="G68" s="10"/>
      <c r="H68" s="10"/>
      <c r="I68" s="13"/>
      <c r="J68" s="10">
        <f t="shared" si="25"/>
        <v>0</v>
      </c>
      <c r="K68" s="10">
        <v>0</v>
      </c>
      <c r="L68" s="86"/>
    </row>
    <row r="69" spans="1:12" s="50" customFormat="1" ht="15">
      <c r="A69" s="49" t="s">
        <v>2</v>
      </c>
      <c r="B69" s="14" t="s">
        <v>22</v>
      </c>
      <c r="C69" s="35">
        <f>C72+C81+C70+C77+C75+C79</f>
        <v>170790.90000000002</v>
      </c>
      <c r="D69" s="35">
        <f aca="true" t="shared" si="26" ref="D69:I69">D72+D81+D70+D77+D75+D79</f>
        <v>156568.09999999998</v>
      </c>
      <c r="E69" s="35">
        <f t="shared" si="26"/>
        <v>14222.799999999997</v>
      </c>
      <c r="F69" s="35">
        <f t="shared" si="26"/>
        <v>11406.400000000001</v>
      </c>
      <c r="G69" s="35">
        <f t="shared" si="26"/>
        <v>11343.5</v>
      </c>
      <c r="H69" s="35">
        <f t="shared" si="26"/>
        <v>62.9</v>
      </c>
      <c r="I69" s="35">
        <f t="shared" si="26"/>
        <v>65239.600000000006</v>
      </c>
      <c r="J69" s="35">
        <f t="shared" si="25"/>
        <v>7.245090155657508</v>
      </c>
      <c r="K69" s="35">
        <f>SUM(H69/E69*100)</f>
        <v>0.44224765868886584</v>
      </c>
      <c r="L69" s="86"/>
    </row>
    <row r="70" spans="1:12" ht="30.75">
      <c r="A70" s="51" t="s">
        <v>23</v>
      </c>
      <c r="B70" s="39" t="s">
        <v>95</v>
      </c>
      <c r="C70" s="34">
        <f aca="true" t="shared" si="27" ref="C70:H70">C71</f>
        <v>41308.5</v>
      </c>
      <c r="D70" s="34">
        <f t="shared" si="27"/>
        <v>41308.5</v>
      </c>
      <c r="E70" s="34">
        <f t="shared" si="27"/>
        <v>0</v>
      </c>
      <c r="F70" s="34">
        <f t="shared" si="27"/>
        <v>10327.1</v>
      </c>
      <c r="G70" s="34">
        <f t="shared" si="27"/>
        <v>10327.1</v>
      </c>
      <c r="H70" s="34">
        <f t="shared" si="27"/>
        <v>0</v>
      </c>
      <c r="I70" s="9">
        <f>SUM(D70-G70)</f>
        <v>30981.4</v>
      </c>
      <c r="J70" s="40">
        <f>SUM(G70/D70*100)</f>
        <v>24.999939479768088</v>
      </c>
      <c r="K70" s="40">
        <v>0</v>
      </c>
      <c r="L70" s="86"/>
    </row>
    <row r="71" spans="1:12" ht="15">
      <c r="A71" s="32"/>
      <c r="B71" s="2" t="s">
        <v>70</v>
      </c>
      <c r="C71" s="98">
        <f>D71+E71</f>
        <v>41308.5</v>
      </c>
      <c r="D71" s="98">
        <v>41308.5</v>
      </c>
      <c r="E71" s="10"/>
      <c r="F71" s="10">
        <f>G71+H71</f>
        <v>10327.1</v>
      </c>
      <c r="G71" s="10">
        <v>10327.1</v>
      </c>
      <c r="H71" s="10"/>
      <c r="I71" s="10">
        <f>SUM(D71-G71)</f>
        <v>30981.4</v>
      </c>
      <c r="J71" s="10">
        <f>SUM(G71/D71*100)</f>
        <v>24.999939479768088</v>
      </c>
      <c r="K71" s="10">
        <v>0</v>
      </c>
      <c r="L71" s="86"/>
    </row>
    <row r="72" spans="1:12" s="50" customFormat="1" ht="30.75">
      <c r="A72" s="33" t="s">
        <v>68</v>
      </c>
      <c r="B72" s="39" t="s">
        <v>41</v>
      </c>
      <c r="C72" s="40">
        <f aca="true" t="shared" si="28" ref="C72:H72">C73+C74</f>
        <v>33555.1</v>
      </c>
      <c r="D72" s="40">
        <f t="shared" si="28"/>
        <v>28400.4</v>
      </c>
      <c r="E72" s="40">
        <f t="shared" si="28"/>
        <v>5154.7</v>
      </c>
      <c r="F72" s="40">
        <f t="shared" si="28"/>
        <v>0</v>
      </c>
      <c r="G72" s="40">
        <f t="shared" si="28"/>
        <v>0</v>
      </c>
      <c r="H72" s="40">
        <f t="shared" si="28"/>
        <v>0</v>
      </c>
      <c r="I72" s="9">
        <f aca="true" t="shared" si="29" ref="I72:I120">SUM(D72-G72)</f>
        <v>28400.4</v>
      </c>
      <c r="J72" s="40">
        <f t="shared" si="25"/>
        <v>0</v>
      </c>
      <c r="K72" s="40">
        <f>SUM(H72/E72*100)</f>
        <v>0</v>
      </c>
      <c r="L72" s="86"/>
    </row>
    <row r="73" spans="1:12" s="50" customFormat="1" ht="15">
      <c r="A73" s="48"/>
      <c r="B73" s="1" t="s">
        <v>97</v>
      </c>
      <c r="C73" s="10">
        <f>D73+E73</f>
        <v>12634.099999999999</v>
      </c>
      <c r="D73" s="10">
        <v>8107.4</v>
      </c>
      <c r="E73" s="10">
        <v>4526.7</v>
      </c>
      <c r="F73" s="10">
        <f>G73+H73</f>
        <v>0</v>
      </c>
      <c r="G73" s="10"/>
      <c r="H73" s="10"/>
      <c r="I73" s="10">
        <f t="shared" si="29"/>
        <v>8107.4</v>
      </c>
      <c r="J73" s="10">
        <f t="shared" si="25"/>
        <v>0</v>
      </c>
      <c r="K73" s="10">
        <f>SUM(H73/E73*100)</f>
        <v>0</v>
      </c>
      <c r="L73" s="86"/>
    </row>
    <row r="74" spans="1:12" ht="15">
      <c r="A74" s="32"/>
      <c r="B74" s="2" t="s">
        <v>155</v>
      </c>
      <c r="C74" s="10">
        <f>D74+E74</f>
        <v>20921</v>
      </c>
      <c r="D74" s="10">
        <v>20293</v>
      </c>
      <c r="E74" s="10">
        <v>628</v>
      </c>
      <c r="F74" s="10">
        <f>G74+H74</f>
        <v>0</v>
      </c>
      <c r="G74" s="11"/>
      <c r="H74" s="10"/>
      <c r="I74" s="10"/>
      <c r="J74" s="10">
        <f>G74/D74*100</f>
        <v>0</v>
      </c>
      <c r="K74" s="10">
        <f>H74/E74*100</f>
        <v>0</v>
      </c>
      <c r="L74" s="88"/>
    </row>
    <row r="75" spans="1:12" s="52" customFormat="1" ht="30.75">
      <c r="A75" s="33" t="s">
        <v>74</v>
      </c>
      <c r="B75" s="39" t="s">
        <v>137</v>
      </c>
      <c r="C75" s="40">
        <f aca="true" t="shared" si="30" ref="C75:H75">C76</f>
        <v>88872.3</v>
      </c>
      <c r="D75" s="40">
        <f t="shared" si="30"/>
        <v>79985</v>
      </c>
      <c r="E75" s="40">
        <f t="shared" si="30"/>
        <v>8887.3</v>
      </c>
      <c r="F75" s="40">
        <f t="shared" si="30"/>
        <v>0</v>
      </c>
      <c r="G75" s="40">
        <f t="shared" si="30"/>
        <v>0</v>
      </c>
      <c r="H75" s="40">
        <f t="shared" si="30"/>
        <v>0</v>
      </c>
      <c r="I75" s="40"/>
      <c r="J75" s="40">
        <f t="shared" si="25"/>
        <v>0</v>
      </c>
      <c r="K75" s="40">
        <v>0</v>
      </c>
      <c r="L75" s="87"/>
    </row>
    <row r="76" spans="1:12" s="50" customFormat="1" ht="15">
      <c r="A76" s="48"/>
      <c r="B76" s="1" t="s">
        <v>138</v>
      </c>
      <c r="C76" s="10">
        <f>D76+E76</f>
        <v>88872.3</v>
      </c>
      <c r="D76" s="10">
        <v>79985</v>
      </c>
      <c r="E76" s="10">
        <v>8887.3</v>
      </c>
      <c r="F76" s="10">
        <f>G76+H76</f>
        <v>0</v>
      </c>
      <c r="G76" s="10"/>
      <c r="H76" s="10"/>
      <c r="I76" s="10"/>
      <c r="J76" s="10">
        <f t="shared" si="25"/>
        <v>0</v>
      </c>
      <c r="K76" s="10">
        <f>SUM(H76/E76*100)</f>
        <v>0</v>
      </c>
      <c r="L76" s="86"/>
    </row>
    <row r="77" spans="1:12" ht="46.5">
      <c r="A77" s="33" t="s">
        <v>129</v>
      </c>
      <c r="B77" s="39" t="s">
        <v>121</v>
      </c>
      <c r="C77" s="34">
        <f aca="true" t="shared" si="31" ref="C77:H77">C78</f>
        <v>3930.7000000000003</v>
      </c>
      <c r="D77" s="34">
        <f t="shared" si="31"/>
        <v>3812.8</v>
      </c>
      <c r="E77" s="34">
        <f t="shared" si="31"/>
        <v>117.9</v>
      </c>
      <c r="F77" s="34">
        <f t="shared" si="31"/>
        <v>0</v>
      </c>
      <c r="G77" s="34">
        <f t="shared" si="31"/>
        <v>0</v>
      </c>
      <c r="H77" s="34">
        <f t="shared" si="31"/>
        <v>0</v>
      </c>
      <c r="I77" s="9">
        <f>SUM(D77-G77)</f>
        <v>3812.8</v>
      </c>
      <c r="J77" s="40">
        <f t="shared" si="25"/>
        <v>0</v>
      </c>
      <c r="K77" s="40">
        <v>0</v>
      </c>
      <c r="L77" s="88"/>
    </row>
    <row r="78" spans="1:12" ht="30.75">
      <c r="A78" s="32"/>
      <c r="B78" s="2" t="s">
        <v>122</v>
      </c>
      <c r="C78" s="10">
        <f>D78+E78</f>
        <v>3930.7000000000003</v>
      </c>
      <c r="D78" s="10">
        <v>3812.8</v>
      </c>
      <c r="E78" s="10">
        <v>117.9</v>
      </c>
      <c r="F78" s="10">
        <f>G78+H78</f>
        <v>0</v>
      </c>
      <c r="G78" s="11"/>
      <c r="H78" s="10"/>
      <c r="I78" s="10"/>
      <c r="J78" s="10">
        <f>G78/D78*100</f>
        <v>0</v>
      </c>
      <c r="K78" s="10">
        <f>H78/E78*100</f>
        <v>0</v>
      </c>
      <c r="L78" s="88"/>
    </row>
    <row r="79" spans="1:12" ht="15">
      <c r="A79" s="33" t="s">
        <v>139</v>
      </c>
      <c r="B79" s="39" t="s">
        <v>13</v>
      </c>
      <c r="C79" s="34">
        <f aca="true" t="shared" si="32" ref="C79:I79">C80</f>
        <v>629.1999999999999</v>
      </c>
      <c r="D79" s="34">
        <f t="shared" si="32"/>
        <v>566.3</v>
      </c>
      <c r="E79" s="34">
        <f t="shared" si="32"/>
        <v>62.9</v>
      </c>
      <c r="F79" s="34">
        <f t="shared" si="32"/>
        <v>629.1999999999999</v>
      </c>
      <c r="G79" s="34">
        <f t="shared" si="32"/>
        <v>566.3</v>
      </c>
      <c r="H79" s="34">
        <f t="shared" si="32"/>
        <v>62.9</v>
      </c>
      <c r="I79" s="34">
        <f t="shared" si="32"/>
        <v>0</v>
      </c>
      <c r="J79" s="40">
        <f>SUM(G79/D79*100)</f>
        <v>100</v>
      </c>
      <c r="K79" s="40">
        <v>0</v>
      </c>
      <c r="L79" s="88"/>
    </row>
    <row r="80" spans="1:12" ht="46.5">
      <c r="A80" s="32"/>
      <c r="B80" s="4" t="s">
        <v>151</v>
      </c>
      <c r="C80" s="10">
        <f>D80+E80</f>
        <v>629.1999999999999</v>
      </c>
      <c r="D80" s="10">
        <v>566.3</v>
      </c>
      <c r="E80" s="10">
        <v>62.9</v>
      </c>
      <c r="F80" s="10">
        <f>G80+H80</f>
        <v>629.1999999999999</v>
      </c>
      <c r="G80" s="10">
        <v>566.3</v>
      </c>
      <c r="H80" s="10">
        <v>62.9</v>
      </c>
      <c r="I80" s="10"/>
      <c r="J80" s="10">
        <f>G80/D80*100</f>
        <v>100</v>
      </c>
      <c r="K80" s="10">
        <f>H80/E80*100</f>
        <v>100</v>
      </c>
      <c r="L80" s="88"/>
    </row>
    <row r="81" spans="1:12" ht="15">
      <c r="A81" s="33" t="s">
        <v>154</v>
      </c>
      <c r="B81" s="39" t="s">
        <v>75</v>
      </c>
      <c r="C81" s="40">
        <f aca="true" t="shared" si="33" ref="C81:H81">C82+C83</f>
        <v>2495.1</v>
      </c>
      <c r="D81" s="40">
        <f t="shared" si="33"/>
        <v>2495.1</v>
      </c>
      <c r="E81" s="40">
        <f t="shared" si="33"/>
        <v>0</v>
      </c>
      <c r="F81" s="40">
        <f t="shared" si="33"/>
        <v>450.1</v>
      </c>
      <c r="G81" s="40">
        <f t="shared" si="33"/>
        <v>450.1</v>
      </c>
      <c r="H81" s="40">
        <f t="shared" si="33"/>
        <v>0</v>
      </c>
      <c r="I81" s="9">
        <f t="shared" si="29"/>
        <v>2045</v>
      </c>
      <c r="J81" s="40">
        <f aca="true" t="shared" si="34" ref="J81:J86">SUM(G81/D81*100)</f>
        <v>18.03935713999439</v>
      </c>
      <c r="K81" s="40">
        <v>0</v>
      </c>
      <c r="L81" s="86"/>
    </row>
    <row r="82" spans="1:12" ht="15">
      <c r="A82" s="48"/>
      <c r="B82" s="1" t="s">
        <v>76</v>
      </c>
      <c r="C82" s="10">
        <f>D82+E82</f>
        <v>2482.7</v>
      </c>
      <c r="D82" s="10">
        <v>2482.7</v>
      </c>
      <c r="E82" s="10"/>
      <c r="F82" s="10">
        <f>G82+H82</f>
        <v>450.1</v>
      </c>
      <c r="G82" s="10">
        <v>450.1</v>
      </c>
      <c r="H82" s="10"/>
      <c r="I82" s="10">
        <f t="shared" si="29"/>
        <v>2032.6</v>
      </c>
      <c r="J82" s="10">
        <f t="shared" si="34"/>
        <v>18.12945583437387</v>
      </c>
      <c r="K82" s="10">
        <v>0</v>
      </c>
      <c r="L82" s="86"/>
    </row>
    <row r="83" spans="1:12" ht="15">
      <c r="A83" s="48"/>
      <c r="B83" s="1" t="s">
        <v>77</v>
      </c>
      <c r="C83" s="10">
        <f>D83+E83</f>
        <v>12.4</v>
      </c>
      <c r="D83" s="10">
        <v>12.4</v>
      </c>
      <c r="E83" s="10"/>
      <c r="F83" s="10">
        <f>G83+H83</f>
        <v>0</v>
      </c>
      <c r="G83" s="10"/>
      <c r="H83" s="10"/>
      <c r="I83" s="10">
        <f t="shared" si="29"/>
        <v>12.4</v>
      </c>
      <c r="J83" s="10">
        <f t="shared" si="34"/>
        <v>0</v>
      </c>
      <c r="K83" s="10">
        <v>0</v>
      </c>
      <c r="L83" s="86"/>
    </row>
    <row r="84" spans="1:12" ht="15">
      <c r="A84" s="54" t="s">
        <v>4</v>
      </c>
      <c r="B84" s="44" t="s">
        <v>24</v>
      </c>
      <c r="C84" s="16">
        <f aca="true" t="shared" si="35" ref="C84:H84">C87+C85</f>
        <v>4989.6</v>
      </c>
      <c r="D84" s="16">
        <f t="shared" si="35"/>
        <v>4989.6</v>
      </c>
      <c r="E84" s="16">
        <f t="shared" si="35"/>
        <v>0</v>
      </c>
      <c r="F84" s="16">
        <f t="shared" si="35"/>
        <v>1237.5</v>
      </c>
      <c r="G84" s="16">
        <f t="shared" si="35"/>
        <v>1237.5</v>
      </c>
      <c r="H84" s="16">
        <f t="shared" si="35"/>
        <v>0</v>
      </c>
      <c r="I84" s="16" t="e">
        <f>I87+I85+#REF!+#REF!+#REF!</f>
        <v>#REF!</v>
      </c>
      <c r="J84" s="16">
        <f>G84/D84*100</f>
        <v>24.8015873015873</v>
      </c>
      <c r="K84" s="35">
        <v>0</v>
      </c>
      <c r="L84" s="86"/>
    </row>
    <row r="85" spans="1:12" ht="30.75">
      <c r="A85" s="33" t="s">
        <v>136</v>
      </c>
      <c r="B85" s="39" t="s">
        <v>95</v>
      </c>
      <c r="C85" s="34">
        <f aca="true" t="shared" si="36" ref="C85:H85">C86</f>
        <v>4631.1</v>
      </c>
      <c r="D85" s="34">
        <f t="shared" si="36"/>
        <v>4631.1</v>
      </c>
      <c r="E85" s="34">
        <f t="shared" si="36"/>
        <v>0</v>
      </c>
      <c r="F85" s="34">
        <f t="shared" si="36"/>
        <v>1157.8</v>
      </c>
      <c r="G85" s="34">
        <f t="shared" si="36"/>
        <v>1157.8</v>
      </c>
      <c r="H85" s="34">
        <f t="shared" si="36"/>
        <v>0</v>
      </c>
      <c r="I85" s="9">
        <f t="shared" si="29"/>
        <v>3473.3</v>
      </c>
      <c r="J85" s="40">
        <f t="shared" si="34"/>
        <v>25.00053982855045</v>
      </c>
      <c r="K85" s="40">
        <v>0</v>
      </c>
      <c r="L85" s="86"/>
    </row>
    <row r="86" spans="1:12" ht="15">
      <c r="A86" s="32"/>
      <c r="B86" s="2" t="s">
        <v>70</v>
      </c>
      <c r="C86" s="98">
        <f>D86+E86</f>
        <v>4631.1</v>
      </c>
      <c r="D86" s="98">
        <v>4631.1</v>
      </c>
      <c r="E86" s="10"/>
      <c r="F86" s="10">
        <f>G86+H86</f>
        <v>1157.8</v>
      </c>
      <c r="G86" s="10">
        <v>1157.8</v>
      </c>
      <c r="H86" s="10"/>
      <c r="I86" s="104">
        <f t="shared" si="29"/>
        <v>3473.3</v>
      </c>
      <c r="J86" s="10">
        <f t="shared" si="34"/>
        <v>25.00053982855045</v>
      </c>
      <c r="K86" s="10">
        <v>0</v>
      </c>
      <c r="L86" s="86"/>
    </row>
    <row r="87" spans="1:12" ht="15">
      <c r="A87" s="58" t="s">
        <v>143</v>
      </c>
      <c r="B87" s="39" t="s">
        <v>75</v>
      </c>
      <c r="C87" s="40">
        <f aca="true" t="shared" si="37" ref="C87:H87">C88+C89</f>
        <v>358.5</v>
      </c>
      <c r="D87" s="40">
        <f t="shared" si="37"/>
        <v>358.5</v>
      </c>
      <c r="E87" s="40">
        <f t="shared" si="37"/>
        <v>0</v>
      </c>
      <c r="F87" s="40">
        <f t="shared" si="37"/>
        <v>79.7</v>
      </c>
      <c r="G87" s="40">
        <f t="shared" si="37"/>
        <v>79.7</v>
      </c>
      <c r="H87" s="40">
        <f t="shared" si="37"/>
        <v>0</v>
      </c>
      <c r="I87" s="9">
        <f t="shared" si="29"/>
        <v>278.8</v>
      </c>
      <c r="J87" s="40">
        <f>SUM(G87/D87*100)</f>
        <v>22.231520223152025</v>
      </c>
      <c r="K87" s="40">
        <v>0</v>
      </c>
      <c r="L87" s="86"/>
    </row>
    <row r="88" spans="1:12" ht="15">
      <c r="A88" s="56"/>
      <c r="B88" s="1" t="s">
        <v>76</v>
      </c>
      <c r="C88" s="10">
        <f>D88+E88</f>
        <v>354.7</v>
      </c>
      <c r="D88" s="10">
        <v>354.7</v>
      </c>
      <c r="E88" s="10"/>
      <c r="F88" s="10">
        <f>G88+H88</f>
        <v>79.7</v>
      </c>
      <c r="G88" s="10">
        <v>79.7</v>
      </c>
      <c r="H88" s="10"/>
      <c r="I88" s="104">
        <f t="shared" si="29"/>
        <v>275</v>
      </c>
      <c r="J88" s="10">
        <f>SUM(G88/D88*100)</f>
        <v>22.469692698054697</v>
      </c>
      <c r="K88" s="10">
        <v>0</v>
      </c>
      <c r="L88" s="86"/>
    </row>
    <row r="89" spans="1:12" ht="15">
      <c r="A89" s="48"/>
      <c r="B89" s="1" t="s">
        <v>77</v>
      </c>
      <c r="C89" s="10">
        <f>D89+E89</f>
        <v>3.8</v>
      </c>
      <c r="D89" s="10">
        <v>3.8</v>
      </c>
      <c r="E89" s="10"/>
      <c r="F89" s="10">
        <f>G89+H89</f>
        <v>0</v>
      </c>
      <c r="G89" s="10"/>
      <c r="H89" s="10"/>
      <c r="I89" s="104">
        <f t="shared" si="29"/>
        <v>3.8</v>
      </c>
      <c r="J89" s="10">
        <f>SUM(G89/D89*100)</f>
        <v>0</v>
      </c>
      <c r="K89" s="10">
        <v>0</v>
      </c>
      <c r="L89" s="86"/>
    </row>
    <row r="90" spans="1:12" ht="15">
      <c r="A90" s="49" t="s">
        <v>5</v>
      </c>
      <c r="B90" s="44" t="s">
        <v>25</v>
      </c>
      <c r="C90" s="16">
        <f aca="true" t="shared" si="38" ref="C90:H90">C95+C91+C93</f>
        <v>4078.2</v>
      </c>
      <c r="D90" s="16">
        <f t="shared" si="38"/>
        <v>3938.9</v>
      </c>
      <c r="E90" s="16">
        <f t="shared" si="38"/>
        <v>139.3</v>
      </c>
      <c r="F90" s="16">
        <f t="shared" si="38"/>
        <v>1572.7</v>
      </c>
      <c r="G90" s="16">
        <f t="shared" si="38"/>
        <v>1433.4</v>
      </c>
      <c r="H90" s="16">
        <f t="shared" si="38"/>
        <v>139.3</v>
      </c>
      <c r="I90" s="9">
        <f t="shared" si="29"/>
        <v>2505.5</v>
      </c>
      <c r="J90" s="35">
        <f aca="true" t="shared" si="39" ref="J90:J106">SUM(G90/D90*100)</f>
        <v>36.39087054761482</v>
      </c>
      <c r="K90" s="35">
        <v>0</v>
      </c>
      <c r="L90" s="86"/>
    </row>
    <row r="91" spans="1:12" ht="30.75">
      <c r="A91" s="33" t="s">
        <v>26</v>
      </c>
      <c r="B91" s="39" t="s">
        <v>95</v>
      </c>
      <c r="C91" s="34">
        <f aca="true" t="shared" si="40" ref="C91:H91">C92</f>
        <v>2900.5</v>
      </c>
      <c r="D91" s="34">
        <f t="shared" si="40"/>
        <v>2900.5</v>
      </c>
      <c r="E91" s="34">
        <f t="shared" si="40"/>
        <v>0</v>
      </c>
      <c r="F91" s="34">
        <f t="shared" si="40"/>
        <v>725.1</v>
      </c>
      <c r="G91" s="34">
        <f t="shared" si="40"/>
        <v>725.1</v>
      </c>
      <c r="H91" s="34">
        <f t="shared" si="40"/>
        <v>0</v>
      </c>
      <c r="I91" s="9">
        <f t="shared" si="29"/>
        <v>2175.4</v>
      </c>
      <c r="J91" s="40">
        <f t="shared" si="39"/>
        <v>24.99913807964144</v>
      </c>
      <c r="K91" s="40">
        <v>0</v>
      </c>
      <c r="L91" s="86"/>
    </row>
    <row r="92" spans="1:12" ht="15">
      <c r="A92" s="105"/>
      <c r="B92" s="2" t="s">
        <v>70</v>
      </c>
      <c r="C92" s="98">
        <f>D92+E92</f>
        <v>2900.5</v>
      </c>
      <c r="D92" s="98">
        <v>2900.5</v>
      </c>
      <c r="E92" s="10"/>
      <c r="F92" s="10">
        <f>G92+H92</f>
        <v>725.1</v>
      </c>
      <c r="G92" s="10">
        <v>725.1</v>
      </c>
      <c r="H92" s="10"/>
      <c r="I92" s="104">
        <f t="shared" si="29"/>
        <v>2175.4</v>
      </c>
      <c r="J92" s="10">
        <f t="shared" si="39"/>
        <v>24.99913807964144</v>
      </c>
      <c r="K92" s="10">
        <v>0</v>
      </c>
      <c r="L92" s="86"/>
    </row>
    <row r="93" spans="1:12" ht="15">
      <c r="A93" s="51" t="s">
        <v>36</v>
      </c>
      <c r="B93" s="39" t="s">
        <v>13</v>
      </c>
      <c r="C93" s="34">
        <f aca="true" t="shared" si="41" ref="C93:H93">C94</f>
        <v>819.2</v>
      </c>
      <c r="D93" s="34">
        <f t="shared" si="41"/>
        <v>679.9</v>
      </c>
      <c r="E93" s="34">
        <f t="shared" si="41"/>
        <v>139.3</v>
      </c>
      <c r="F93" s="34">
        <f t="shared" si="41"/>
        <v>819.2</v>
      </c>
      <c r="G93" s="34">
        <f t="shared" si="41"/>
        <v>679.9</v>
      </c>
      <c r="H93" s="34">
        <f t="shared" si="41"/>
        <v>139.3</v>
      </c>
      <c r="I93" s="9"/>
      <c r="J93" s="40">
        <f>SUM(G93/D93*100)</f>
        <v>100</v>
      </c>
      <c r="K93" s="40">
        <f>SUM(H93/E93*100)</f>
        <v>100</v>
      </c>
      <c r="L93" s="86"/>
    </row>
    <row r="94" spans="1:12" ht="46.5">
      <c r="A94" s="32"/>
      <c r="B94" s="4" t="s">
        <v>151</v>
      </c>
      <c r="C94" s="98">
        <f>D94+E94</f>
        <v>819.2</v>
      </c>
      <c r="D94" s="11">
        <v>679.9</v>
      </c>
      <c r="E94" s="10">
        <v>139.3</v>
      </c>
      <c r="F94" s="98">
        <f>G94+H94</f>
        <v>819.2</v>
      </c>
      <c r="G94" s="11">
        <v>679.9</v>
      </c>
      <c r="H94" s="10">
        <v>139.3</v>
      </c>
      <c r="I94" s="104"/>
      <c r="J94" s="10">
        <f>SUM(G94/D94*100)</f>
        <v>100</v>
      </c>
      <c r="K94" s="10">
        <f>SUM(H94/E94*100)</f>
        <v>100</v>
      </c>
      <c r="L94" s="86"/>
    </row>
    <row r="95" spans="1:12" ht="15">
      <c r="A95" s="51" t="s">
        <v>161</v>
      </c>
      <c r="B95" s="39" t="s">
        <v>75</v>
      </c>
      <c r="C95" s="40">
        <f aca="true" t="shared" si="42" ref="C95:I95">C96+C97</f>
        <v>358.5</v>
      </c>
      <c r="D95" s="40">
        <f t="shared" si="42"/>
        <v>358.5</v>
      </c>
      <c r="E95" s="40">
        <f t="shared" si="42"/>
        <v>0</v>
      </c>
      <c r="F95" s="40">
        <f t="shared" si="42"/>
        <v>28.4</v>
      </c>
      <c r="G95" s="40">
        <f t="shared" si="42"/>
        <v>28.4</v>
      </c>
      <c r="H95" s="40">
        <f t="shared" si="42"/>
        <v>0</v>
      </c>
      <c r="I95" s="40">
        <f t="shared" si="42"/>
        <v>330.1</v>
      </c>
      <c r="J95" s="40">
        <f t="shared" si="39"/>
        <v>7.921896792189679</v>
      </c>
      <c r="K95" s="40">
        <v>0</v>
      </c>
      <c r="L95" s="86"/>
    </row>
    <row r="96" spans="1:12" ht="15">
      <c r="A96" s="48"/>
      <c r="B96" s="1" t="s">
        <v>76</v>
      </c>
      <c r="C96" s="10">
        <f>D96+E96</f>
        <v>354.7</v>
      </c>
      <c r="D96" s="10">
        <v>354.7</v>
      </c>
      <c r="E96" s="10"/>
      <c r="F96" s="10">
        <f>G96+H96</f>
        <v>28.4</v>
      </c>
      <c r="G96" s="10">
        <v>28.4</v>
      </c>
      <c r="H96" s="10"/>
      <c r="I96" s="104">
        <f t="shared" si="29"/>
        <v>326.3</v>
      </c>
      <c r="J96" s="10">
        <f t="shared" si="39"/>
        <v>8.006766281364532</v>
      </c>
      <c r="K96" s="10">
        <v>0</v>
      </c>
      <c r="L96" s="86"/>
    </row>
    <row r="97" spans="1:12" ht="15">
      <c r="A97" s="48"/>
      <c r="B97" s="1" t="s">
        <v>77</v>
      </c>
      <c r="C97" s="10">
        <f>D97+E97</f>
        <v>3.8</v>
      </c>
      <c r="D97" s="10">
        <v>3.8</v>
      </c>
      <c r="E97" s="10"/>
      <c r="F97" s="10">
        <f>G97+H97</f>
        <v>0</v>
      </c>
      <c r="G97" s="10"/>
      <c r="H97" s="10"/>
      <c r="I97" s="104">
        <f t="shared" si="29"/>
        <v>3.8</v>
      </c>
      <c r="J97" s="10">
        <f t="shared" si="39"/>
        <v>0</v>
      </c>
      <c r="K97" s="10">
        <v>0</v>
      </c>
      <c r="L97" s="86"/>
    </row>
    <row r="98" spans="1:12" ht="15">
      <c r="A98" s="49" t="s">
        <v>6</v>
      </c>
      <c r="B98" s="44" t="s">
        <v>27</v>
      </c>
      <c r="C98" s="41">
        <f aca="true" t="shared" si="43" ref="C98:H98">C103+C99+C101</f>
        <v>9874.2</v>
      </c>
      <c r="D98" s="41">
        <f t="shared" si="43"/>
        <v>9724.2</v>
      </c>
      <c r="E98" s="41">
        <f t="shared" si="43"/>
        <v>150</v>
      </c>
      <c r="F98" s="41">
        <f t="shared" si="43"/>
        <v>2198.5</v>
      </c>
      <c r="G98" s="41">
        <f t="shared" si="43"/>
        <v>2198.5</v>
      </c>
      <c r="H98" s="41">
        <f t="shared" si="43"/>
        <v>0</v>
      </c>
      <c r="I98" s="41" t="e">
        <f>I103+I99+#REF!</f>
        <v>#REF!</v>
      </c>
      <c r="J98" s="35">
        <f t="shared" si="39"/>
        <v>22.608543633409433</v>
      </c>
      <c r="K98" s="35">
        <v>0</v>
      </c>
      <c r="L98" s="86"/>
    </row>
    <row r="99" spans="1:12" ht="30.75">
      <c r="A99" s="33" t="s">
        <v>78</v>
      </c>
      <c r="B99" s="39" t="s">
        <v>95</v>
      </c>
      <c r="C99" s="34">
        <f aca="true" t="shared" si="44" ref="C99:H101">C100</f>
        <v>8307.7</v>
      </c>
      <c r="D99" s="34">
        <f t="shared" si="44"/>
        <v>8307.7</v>
      </c>
      <c r="E99" s="34">
        <f t="shared" si="44"/>
        <v>0</v>
      </c>
      <c r="F99" s="34">
        <f t="shared" si="44"/>
        <v>2076.9</v>
      </c>
      <c r="G99" s="34">
        <f t="shared" si="44"/>
        <v>2076.9</v>
      </c>
      <c r="H99" s="34">
        <f t="shared" si="44"/>
        <v>0</v>
      </c>
      <c r="I99" s="9">
        <f t="shared" si="29"/>
        <v>6230.800000000001</v>
      </c>
      <c r="J99" s="40">
        <f t="shared" si="39"/>
        <v>24.99969907435271</v>
      </c>
      <c r="K99" s="40">
        <v>0</v>
      </c>
      <c r="L99" s="86"/>
    </row>
    <row r="100" spans="1:12" ht="15">
      <c r="A100" s="32"/>
      <c r="B100" s="2" t="s">
        <v>70</v>
      </c>
      <c r="C100" s="98">
        <f>D100+E100</f>
        <v>8307.7</v>
      </c>
      <c r="D100" s="98">
        <v>8307.7</v>
      </c>
      <c r="E100" s="10"/>
      <c r="F100" s="10">
        <f>G100+H100</f>
        <v>2076.9</v>
      </c>
      <c r="G100" s="10">
        <v>2076.9</v>
      </c>
      <c r="H100" s="10"/>
      <c r="I100" s="104">
        <f t="shared" si="29"/>
        <v>6230.800000000001</v>
      </c>
      <c r="J100" s="10">
        <f t="shared" si="39"/>
        <v>24.99969907435271</v>
      </c>
      <c r="K100" s="10">
        <v>0</v>
      </c>
      <c r="L100" s="86"/>
    </row>
    <row r="101" spans="1:12" ht="15">
      <c r="A101" s="51" t="s">
        <v>98</v>
      </c>
      <c r="B101" s="39" t="s">
        <v>13</v>
      </c>
      <c r="C101" s="34">
        <f t="shared" si="44"/>
        <v>853.4</v>
      </c>
      <c r="D101" s="34">
        <f t="shared" si="44"/>
        <v>703.4</v>
      </c>
      <c r="E101" s="34">
        <f t="shared" si="44"/>
        <v>150</v>
      </c>
      <c r="F101" s="34">
        <f t="shared" si="44"/>
        <v>0</v>
      </c>
      <c r="G101" s="34">
        <f t="shared" si="44"/>
        <v>0</v>
      </c>
      <c r="H101" s="34">
        <f t="shared" si="44"/>
        <v>0</v>
      </c>
      <c r="I101" s="9"/>
      <c r="J101" s="10"/>
      <c r="K101" s="10"/>
      <c r="L101" s="86"/>
    </row>
    <row r="102" spans="1:12" ht="46.5">
      <c r="A102" s="32"/>
      <c r="B102" s="4" t="s">
        <v>151</v>
      </c>
      <c r="C102" s="98">
        <f>D102+E102</f>
        <v>853.4</v>
      </c>
      <c r="D102" s="11">
        <v>703.4</v>
      </c>
      <c r="E102" s="10">
        <v>150</v>
      </c>
      <c r="F102" s="10"/>
      <c r="G102" s="10"/>
      <c r="H102" s="10"/>
      <c r="I102" s="104"/>
      <c r="J102" s="10"/>
      <c r="K102" s="10"/>
      <c r="L102" s="86"/>
    </row>
    <row r="103" spans="1:12" ht="15">
      <c r="A103" s="51" t="s">
        <v>153</v>
      </c>
      <c r="B103" s="39" t="s">
        <v>75</v>
      </c>
      <c r="C103" s="40">
        <f aca="true" t="shared" si="45" ref="C103:H103">C104+C105</f>
        <v>713.0999999999999</v>
      </c>
      <c r="D103" s="40">
        <f t="shared" si="45"/>
        <v>713.0999999999999</v>
      </c>
      <c r="E103" s="40">
        <f t="shared" si="45"/>
        <v>0</v>
      </c>
      <c r="F103" s="40">
        <f t="shared" si="45"/>
        <v>121.6</v>
      </c>
      <c r="G103" s="40">
        <f t="shared" si="45"/>
        <v>121.6</v>
      </c>
      <c r="H103" s="40">
        <f t="shared" si="45"/>
        <v>0</v>
      </c>
      <c r="I103" s="40" t="e">
        <f>I104+I105+#REF!</f>
        <v>#REF!</v>
      </c>
      <c r="J103" s="40">
        <f t="shared" si="39"/>
        <v>17.0523068293367</v>
      </c>
      <c r="K103" s="40">
        <v>0</v>
      </c>
      <c r="L103" s="86"/>
    </row>
    <row r="104" spans="1:12" ht="15">
      <c r="A104" s="48"/>
      <c r="B104" s="1" t="s">
        <v>76</v>
      </c>
      <c r="C104" s="10">
        <f>D104+E104</f>
        <v>709.3</v>
      </c>
      <c r="D104" s="10">
        <v>709.3</v>
      </c>
      <c r="E104" s="10"/>
      <c r="F104" s="10">
        <f>G104+H104</f>
        <v>121.6</v>
      </c>
      <c r="G104" s="10">
        <v>121.6</v>
      </c>
      <c r="H104" s="10"/>
      <c r="I104" s="104">
        <f t="shared" si="29"/>
        <v>587.6999999999999</v>
      </c>
      <c r="J104" s="10">
        <f t="shared" si="39"/>
        <v>17.143662766107433</v>
      </c>
      <c r="K104" s="10">
        <v>0</v>
      </c>
      <c r="L104" s="86"/>
    </row>
    <row r="105" spans="1:12" ht="15">
      <c r="A105" s="48"/>
      <c r="B105" s="1" t="s">
        <v>77</v>
      </c>
      <c r="C105" s="10">
        <f>D105+E105</f>
        <v>3.8</v>
      </c>
      <c r="D105" s="10">
        <v>3.8</v>
      </c>
      <c r="E105" s="10"/>
      <c r="F105" s="10">
        <f>G105+H105</f>
        <v>0</v>
      </c>
      <c r="G105" s="10"/>
      <c r="H105" s="10"/>
      <c r="I105" s="104">
        <f t="shared" si="29"/>
        <v>3.8</v>
      </c>
      <c r="J105" s="10">
        <f t="shared" si="39"/>
        <v>0</v>
      </c>
      <c r="K105" s="10">
        <v>0</v>
      </c>
      <c r="L105" s="86"/>
    </row>
    <row r="106" spans="1:12" ht="15">
      <c r="A106" s="49" t="s">
        <v>8</v>
      </c>
      <c r="B106" s="44" t="s">
        <v>79</v>
      </c>
      <c r="C106" s="41">
        <f aca="true" t="shared" si="46" ref="C106:I106">C115+C107+C109+C111+C113</f>
        <v>9203.7</v>
      </c>
      <c r="D106" s="41">
        <f t="shared" si="46"/>
        <v>8632.4</v>
      </c>
      <c r="E106" s="41">
        <f t="shared" si="46"/>
        <v>571.3</v>
      </c>
      <c r="F106" s="41">
        <f t="shared" si="46"/>
        <v>237.8</v>
      </c>
      <c r="G106" s="41">
        <f t="shared" si="46"/>
        <v>237.8</v>
      </c>
      <c r="H106" s="41">
        <f t="shared" si="46"/>
        <v>0</v>
      </c>
      <c r="I106" s="41">
        <f t="shared" si="46"/>
        <v>779.0000000000001</v>
      </c>
      <c r="J106" s="35">
        <f t="shared" si="39"/>
        <v>2.7547379639497707</v>
      </c>
      <c r="K106" s="35">
        <v>0</v>
      </c>
      <c r="L106" s="86"/>
    </row>
    <row r="107" spans="1:12" ht="30.75">
      <c r="A107" s="58" t="s">
        <v>115</v>
      </c>
      <c r="B107" s="39" t="s">
        <v>95</v>
      </c>
      <c r="C107" s="40">
        <f aca="true" t="shared" si="47" ref="C107:H107">C108</f>
        <v>871.2</v>
      </c>
      <c r="D107" s="40">
        <f t="shared" si="47"/>
        <v>871.2</v>
      </c>
      <c r="E107" s="40">
        <f t="shared" si="47"/>
        <v>0</v>
      </c>
      <c r="F107" s="40">
        <f t="shared" si="47"/>
        <v>217.8</v>
      </c>
      <c r="G107" s="40">
        <f t="shared" si="47"/>
        <v>217.8</v>
      </c>
      <c r="H107" s="40">
        <f t="shared" si="47"/>
        <v>0</v>
      </c>
      <c r="I107" s="9">
        <f t="shared" si="29"/>
        <v>653.4000000000001</v>
      </c>
      <c r="J107" s="40">
        <f>SUM(G107/D107*100)</f>
        <v>25</v>
      </c>
      <c r="K107" s="40">
        <v>0</v>
      </c>
      <c r="L107" s="86"/>
    </row>
    <row r="108" spans="1:12" ht="15">
      <c r="A108" s="59"/>
      <c r="B108" s="2" t="s">
        <v>70</v>
      </c>
      <c r="C108" s="103">
        <f>D108+E108</f>
        <v>871.2</v>
      </c>
      <c r="D108" s="98">
        <v>871.2</v>
      </c>
      <c r="E108" s="11"/>
      <c r="F108" s="71">
        <f>G108+H108</f>
        <v>217.8</v>
      </c>
      <c r="G108" s="11">
        <v>217.8</v>
      </c>
      <c r="H108" s="11"/>
      <c r="I108" s="9">
        <f t="shared" si="29"/>
        <v>653.4000000000001</v>
      </c>
      <c r="J108" s="10">
        <f>SUM(G108/D108*100)</f>
        <v>25</v>
      </c>
      <c r="K108" s="10">
        <v>0</v>
      </c>
      <c r="L108" s="86"/>
    </row>
    <row r="109" spans="1:12" ht="15">
      <c r="A109" s="107" t="s">
        <v>101</v>
      </c>
      <c r="B109" s="39" t="s">
        <v>13</v>
      </c>
      <c r="C109" s="34">
        <f aca="true" t="shared" si="48" ref="C109:H109">C110</f>
        <v>667</v>
      </c>
      <c r="D109" s="34">
        <f t="shared" si="48"/>
        <v>546.9</v>
      </c>
      <c r="E109" s="34">
        <f t="shared" si="48"/>
        <v>120.1</v>
      </c>
      <c r="F109" s="34">
        <f t="shared" si="48"/>
        <v>0</v>
      </c>
      <c r="G109" s="34">
        <f t="shared" si="48"/>
        <v>0</v>
      </c>
      <c r="H109" s="34">
        <f t="shared" si="48"/>
        <v>0</v>
      </c>
      <c r="I109" s="40"/>
      <c r="J109" s="40">
        <f aca="true" t="shared" si="49" ref="J109:J120">SUM(G109/D109*100)</f>
        <v>0</v>
      </c>
      <c r="K109" s="40">
        <v>0</v>
      </c>
      <c r="L109" s="86"/>
    </row>
    <row r="110" spans="1:12" ht="46.5">
      <c r="A110" s="115"/>
      <c r="B110" s="4" t="s">
        <v>151</v>
      </c>
      <c r="C110" s="13">
        <f>D110+E110</f>
        <v>667</v>
      </c>
      <c r="D110" s="11">
        <v>546.9</v>
      </c>
      <c r="E110" s="10">
        <v>120.1</v>
      </c>
      <c r="F110" s="13">
        <f>G110+H110</f>
        <v>0</v>
      </c>
      <c r="G110" s="10"/>
      <c r="H110" s="10"/>
      <c r="I110" s="9"/>
      <c r="J110" s="10">
        <f t="shared" si="49"/>
        <v>0</v>
      </c>
      <c r="K110" s="10">
        <v>0</v>
      </c>
      <c r="L110" s="86"/>
    </row>
    <row r="111" spans="1:12" ht="30.75">
      <c r="A111" s="107" t="s">
        <v>142</v>
      </c>
      <c r="B111" s="75" t="s">
        <v>167</v>
      </c>
      <c r="C111" s="40">
        <f aca="true" t="shared" si="50" ref="C111:H113">C112</f>
        <v>6837.8</v>
      </c>
      <c r="D111" s="40">
        <f t="shared" si="50"/>
        <v>6427.5</v>
      </c>
      <c r="E111" s="40">
        <f t="shared" si="50"/>
        <v>410.3</v>
      </c>
      <c r="F111" s="40">
        <f t="shared" si="50"/>
        <v>0</v>
      </c>
      <c r="G111" s="40">
        <f t="shared" si="50"/>
        <v>0</v>
      </c>
      <c r="H111" s="40">
        <f t="shared" si="50"/>
        <v>0</v>
      </c>
      <c r="I111" s="40"/>
      <c r="J111" s="42">
        <f t="shared" si="49"/>
        <v>0</v>
      </c>
      <c r="K111" s="40">
        <v>0</v>
      </c>
      <c r="L111" s="86"/>
    </row>
    <row r="112" spans="1:12" ht="30.75">
      <c r="A112" s="106"/>
      <c r="B112" s="1" t="s">
        <v>152</v>
      </c>
      <c r="C112" s="13">
        <f>D112+E112</f>
        <v>6837.8</v>
      </c>
      <c r="D112" s="11">
        <v>6427.5</v>
      </c>
      <c r="E112" s="10">
        <v>410.3</v>
      </c>
      <c r="F112" s="13">
        <f>G112+H112</f>
        <v>0</v>
      </c>
      <c r="G112" s="10"/>
      <c r="H112" s="10"/>
      <c r="I112" s="9"/>
      <c r="J112" s="10">
        <f t="shared" si="49"/>
        <v>0</v>
      </c>
      <c r="K112" s="10">
        <v>0</v>
      </c>
      <c r="L112" s="86"/>
    </row>
    <row r="113" spans="1:12" ht="30.75">
      <c r="A113" s="33" t="s">
        <v>175</v>
      </c>
      <c r="B113" s="39" t="s">
        <v>176</v>
      </c>
      <c r="C113" s="40">
        <f t="shared" si="50"/>
        <v>682.1</v>
      </c>
      <c r="D113" s="40">
        <f t="shared" si="50"/>
        <v>641.2</v>
      </c>
      <c r="E113" s="40">
        <f t="shared" si="50"/>
        <v>40.9</v>
      </c>
      <c r="F113" s="40">
        <f t="shared" si="50"/>
        <v>0</v>
      </c>
      <c r="G113" s="40">
        <f t="shared" si="50"/>
        <v>0</v>
      </c>
      <c r="H113" s="40">
        <f t="shared" si="50"/>
        <v>0</v>
      </c>
      <c r="I113" s="40"/>
      <c r="J113" s="42"/>
      <c r="K113" s="40">
        <v>0</v>
      </c>
      <c r="L113" s="86"/>
    </row>
    <row r="114" spans="1:12" ht="30.75">
      <c r="A114" s="106"/>
      <c r="B114" s="1" t="s">
        <v>177</v>
      </c>
      <c r="C114" s="13">
        <f>D114+E114</f>
        <v>682.1</v>
      </c>
      <c r="D114" s="11">
        <v>641.2</v>
      </c>
      <c r="E114" s="10">
        <v>40.9</v>
      </c>
      <c r="F114" s="13">
        <f>G114+H114</f>
        <v>0</v>
      </c>
      <c r="G114" s="10"/>
      <c r="H114" s="10"/>
      <c r="I114" s="9"/>
      <c r="J114" s="10"/>
      <c r="K114" s="10">
        <v>0</v>
      </c>
      <c r="L114" s="86"/>
    </row>
    <row r="115" spans="1:12" ht="15">
      <c r="A115" s="107" t="s">
        <v>148</v>
      </c>
      <c r="B115" s="39" t="s">
        <v>75</v>
      </c>
      <c r="C115" s="40">
        <f aca="true" t="shared" si="51" ref="C115:I115">C116+C117</f>
        <v>145.60000000000002</v>
      </c>
      <c r="D115" s="40">
        <f t="shared" si="51"/>
        <v>145.60000000000002</v>
      </c>
      <c r="E115" s="40">
        <f t="shared" si="51"/>
        <v>0</v>
      </c>
      <c r="F115" s="40">
        <f t="shared" si="51"/>
        <v>20</v>
      </c>
      <c r="G115" s="40">
        <f t="shared" si="51"/>
        <v>20</v>
      </c>
      <c r="H115" s="40">
        <f t="shared" si="51"/>
        <v>0</v>
      </c>
      <c r="I115" s="40">
        <f t="shared" si="51"/>
        <v>125.60000000000001</v>
      </c>
      <c r="J115" s="40">
        <f t="shared" si="49"/>
        <v>13.736263736263735</v>
      </c>
      <c r="K115" s="40">
        <v>0</v>
      </c>
      <c r="L115" s="86"/>
    </row>
    <row r="116" spans="1:12" ht="15">
      <c r="A116" s="116"/>
      <c r="B116" s="1" t="s">
        <v>76</v>
      </c>
      <c r="C116" s="13">
        <f>D116+E116</f>
        <v>141.8</v>
      </c>
      <c r="D116" s="10">
        <v>141.8</v>
      </c>
      <c r="E116" s="10"/>
      <c r="F116" s="13">
        <f>G116+H116</f>
        <v>20</v>
      </c>
      <c r="G116" s="10">
        <v>20</v>
      </c>
      <c r="H116" s="10"/>
      <c r="I116" s="13">
        <f t="shared" si="29"/>
        <v>121.80000000000001</v>
      </c>
      <c r="J116" s="10">
        <f t="shared" si="49"/>
        <v>14.104372355430181</v>
      </c>
      <c r="K116" s="10">
        <v>0</v>
      </c>
      <c r="L116" s="86"/>
    </row>
    <row r="117" spans="1:12" ht="15">
      <c r="A117" s="116"/>
      <c r="B117" s="1" t="s">
        <v>77</v>
      </c>
      <c r="C117" s="13">
        <f>D117+E117</f>
        <v>3.8</v>
      </c>
      <c r="D117" s="10">
        <v>3.8</v>
      </c>
      <c r="E117" s="10"/>
      <c r="F117" s="13">
        <f>G117+H117</f>
        <v>0</v>
      </c>
      <c r="G117" s="10"/>
      <c r="H117" s="10"/>
      <c r="I117" s="13">
        <f t="shared" si="29"/>
        <v>3.8</v>
      </c>
      <c r="J117" s="10">
        <f t="shared" si="49"/>
        <v>0</v>
      </c>
      <c r="K117" s="10">
        <v>0</v>
      </c>
      <c r="L117" s="86"/>
    </row>
    <row r="118" spans="1:12" ht="15">
      <c r="A118" s="49" t="s">
        <v>9</v>
      </c>
      <c r="B118" s="44" t="s">
        <v>28</v>
      </c>
      <c r="C118" s="41">
        <f>C125+C119+C121+C123</f>
        <v>26018.1</v>
      </c>
      <c r="D118" s="41">
        <f aca="true" t="shared" si="52" ref="D118:J118">D125+D119+D121+D123</f>
        <v>23371.100000000002</v>
      </c>
      <c r="E118" s="41">
        <f t="shared" si="52"/>
        <v>2647</v>
      </c>
      <c r="F118" s="41">
        <f t="shared" si="52"/>
        <v>3338.3</v>
      </c>
      <c r="G118" s="41">
        <f t="shared" si="52"/>
        <v>3069.2</v>
      </c>
      <c r="H118" s="41">
        <f t="shared" si="52"/>
        <v>269.1</v>
      </c>
      <c r="I118" s="41">
        <f t="shared" si="52"/>
        <v>3888</v>
      </c>
      <c r="J118" s="41">
        <f t="shared" si="52"/>
        <v>243.32638750659413</v>
      </c>
      <c r="K118" s="35">
        <v>0</v>
      </c>
      <c r="L118" s="86"/>
    </row>
    <row r="119" spans="1:12" ht="30.75">
      <c r="A119" s="33" t="s">
        <v>29</v>
      </c>
      <c r="B119" s="39" t="s">
        <v>95</v>
      </c>
      <c r="C119" s="34">
        <f aca="true" t="shared" si="53" ref="C119:K123">C120</f>
        <v>4797.8</v>
      </c>
      <c r="D119" s="34">
        <f t="shared" si="53"/>
        <v>4797.8</v>
      </c>
      <c r="E119" s="34">
        <f t="shared" si="53"/>
        <v>0</v>
      </c>
      <c r="F119" s="34">
        <f t="shared" si="53"/>
        <v>1199.5</v>
      </c>
      <c r="G119" s="34">
        <f t="shared" si="53"/>
        <v>1199.5</v>
      </c>
      <c r="H119" s="34">
        <f t="shared" si="53"/>
        <v>0</v>
      </c>
      <c r="I119" s="9">
        <f t="shared" si="29"/>
        <v>3598.3</v>
      </c>
      <c r="J119" s="40">
        <f t="shared" si="49"/>
        <v>25.001042144316145</v>
      </c>
      <c r="K119" s="40">
        <v>0</v>
      </c>
      <c r="L119" s="86"/>
    </row>
    <row r="120" spans="1:12" ht="15">
      <c r="A120" s="32"/>
      <c r="B120" s="2" t="s">
        <v>70</v>
      </c>
      <c r="C120" s="98">
        <f>D120+E120</f>
        <v>4797.8</v>
      </c>
      <c r="D120" s="98">
        <v>4797.8</v>
      </c>
      <c r="E120" s="10"/>
      <c r="F120" s="10">
        <f>G120+H120</f>
        <v>1199.5</v>
      </c>
      <c r="G120" s="10">
        <v>1199.5</v>
      </c>
      <c r="H120" s="10"/>
      <c r="I120" s="104">
        <f t="shared" si="29"/>
        <v>3598.3</v>
      </c>
      <c r="J120" s="10">
        <f t="shared" si="49"/>
        <v>25.001042144316145</v>
      </c>
      <c r="K120" s="10">
        <v>0</v>
      </c>
      <c r="L120" s="86"/>
    </row>
    <row r="121" spans="1:12" ht="30.75">
      <c r="A121" s="51" t="s">
        <v>37</v>
      </c>
      <c r="B121" s="55" t="s">
        <v>137</v>
      </c>
      <c r="C121" s="34">
        <f t="shared" si="53"/>
        <v>18291.8</v>
      </c>
      <c r="D121" s="34">
        <f t="shared" si="53"/>
        <v>15913.9</v>
      </c>
      <c r="E121" s="34">
        <f t="shared" si="53"/>
        <v>2377.9</v>
      </c>
      <c r="F121" s="34">
        <f t="shared" si="53"/>
        <v>0</v>
      </c>
      <c r="G121" s="34">
        <f t="shared" si="53"/>
        <v>0</v>
      </c>
      <c r="H121" s="34">
        <f t="shared" si="53"/>
        <v>0</v>
      </c>
      <c r="I121" s="34">
        <f t="shared" si="53"/>
        <v>0</v>
      </c>
      <c r="J121" s="34">
        <f t="shared" si="53"/>
        <v>0</v>
      </c>
      <c r="K121" s="34">
        <f t="shared" si="53"/>
        <v>0</v>
      </c>
      <c r="L121" s="97"/>
    </row>
    <row r="122" spans="1:12" ht="15">
      <c r="A122" s="56"/>
      <c r="B122" s="57" t="s">
        <v>138</v>
      </c>
      <c r="C122" s="98">
        <f>D122+E122</f>
        <v>18291.8</v>
      </c>
      <c r="D122" s="11">
        <v>15913.9</v>
      </c>
      <c r="E122" s="10">
        <v>2377.9</v>
      </c>
      <c r="F122" s="98">
        <f>G122+H122</f>
        <v>0</v>
      </c>
      <c r="G122" s="10"/>
      <c r="H122" s="10"/>
      <c r="I122" s="104"/>
      <c r="J122" s="10">
        <f>SUM(G122/D122*100)</f>
        <v>0</v>
      </c>
      <c r="K122" s="10">
        <v>0</v>
      </c>
      <c r="L122" s="86"/>
    </row>
    <row r="123" spans="1:12" ht="15">
      <c r="A123" s="51" t="s">
        <v>150</v>
      </c>
      <c r="B123" s="39" t="s">
        <v>13</v>
      </c>
      <c r="C123" s="34">
        <f t="shared" si="53"/>
        <v>2070</v>
      </c>
      <c r="D123" s="34">
        <f t="shared" si="53"/>
        <v>1800.9</v>
      </c>
      <c r="E123" s="34">
        <f t="shared" si="53"/>
        <v>269.1</v>
      </c>
      <c r="F123" s="34">
        <f t="shared" si="53"/>
        <v>2070</v>
      </c>
      <c r="G123" s="34">
        <f t="shared" si="53"/>
        <v>1800.9</v>
      </c>
      <c r="H123" s="34">
        <f t="shared" si="53"/>
        <v>269.1</v>
      </c>
      <c r="I123" s="34">
        <f t="shared" si="53"/>
        <v>0</v>
      </c>
      <c r="J123" s="34">
        <f t="shared" si="53"/>
        <v>100</v>
      </c>
      <c r="K123" s="34">
        <f t="shared" si="53"/>
        <v>100</v>
      </c>
      <c r="L123" s="97"/>
    </row>
    <row r="124" spans="1:12" ht="46.5">
      <c r="A124" s="32"/>
      <c r="B124" s="2" t="s">
        <v>151</v>
      </c>
      <c r="C124" s="98">
        <f>D124+E124</f>
        <v>2070</v>
      </c>
      <c r="D124" s="11">
        <v>1800.9</v>
      </c>
      <c r="E124" s="10">
        <v>269.1</v>
      </c>
      <c r="F124" s="98">
        <f>G124+H124</f>
        <v>2070</v>
      </c>
      <c r="G124" s="11">
        <v>1800.9</v>
      </c>
      <c r="H124" s="10">
        <v>269.1</v>
      </c>
      <c r="I124" s="104"/>
      <c r="J124" s="10">
        <f>SUM(G124/D124*100)</f>
        <v>100</v>
      </c>
      <c r="K124" s="10">
        <f>SUM(H124/E124*100)</f>
        <v>100</v>
      </c>
      <c r="L124" s="86"/>
    </row>
    <row r="125" spans="1:12" ht="15">
      <c r="A125" s="51" t="s">
        <v>149</v>
      </c>
      <c r="B125" s="39" t="s">
        <v>75</v>
      </c>
      <c r="C125" s="40">
        <f>C126+C127+C128</f>
        <v>858.5</v>
      </c>
      <c r="D125" s="40">
        <f aca="true" t="shared" si="54" ref="D125:J125">D126+D127+D128</f>
        <v>858.5</v>
      </c>
      <c r="E125" s="40">
        <f t="shared" si="54"/>
        <v>0</v>
      </c>
      <c r="F125" s="40">
        <f t="shared" si="54"/>
        <v>68.8</v>
      </c>
      <c r="G125" s="40">
        <f t="shared" si="54"/>
        <v>68.8</v>
      </c>
      <c r="H125" s="40">
        <f t="shared" si="54"/>
        <v>0</v>
      </c>
      <c r="I125" s="40">
        <f t="shared" si="54"/>
        <v>289.7</v>
      </c>
      <c r="J125" s="40">
        <f t="shared" si="54"/>
        <v>118.32534536227799</v>
      </c>
      <c r="K125" s="40">
        <v>0</v>
      </c>
      <c r="L125" s="86"/>
    </row>
    <row r="126" spans="1:12" ht="15">
      <c r="A126" s="48"/>
      <c r="B126" s="1" t="s">
        <v>76</v>
      </c>
      <c r="C126" s="10">
        <f>D126+E126</f>
        <v>354.7</v>
      </c>
      <c r="D126" s="10">
        <v>354.7</v>
      </c>
      <c r="E126" s="10"/>
      <c r="F126" s="10">
        <f>G126+H126</f>
        <v>65</v>
      </c>
      <c r="G126" s="10">
        <v>65</v>
      </c>
      <c r="H126" s="10"/>
      <c r="I126" s="104">
        <f aca="true" t="shared" si="55" ref="I126:I154">SUM(D126-G126)</f>
        <v>289.7</v>
      </c>
      <c r="J126" s="10">
        <f>SUM(G126/D126*100)</f>
        <v>18.325345362277982</v>
      </c>
      <c r="K126" s="10">
        <v>0</v>
      </c>
      <c r="L126" s="86"/>
    </row>
    <row r="127" spans="1:12" ht="15">
      <c r="A127" s="48"/>
      <c r="B127" s="1" t="s">
        <v>77</v>
      </c>
      <c r="C127" s="13">
        <f>D127+E127</f>
        <v>3.8</v>
      </c>
      <c r="D127" s="10">
        <v>3.8</v>
      </c>
      <c r="E127" s="10"/>
      <c r="F127" s="13">
        <f>G127+H127</f>
        <v>3.8</v>
      </c>
      <c r="G127" s="10">
        <v>3.8</v>
      </c>
      <c r="H127" s="10"/>
      <c r="I127" s="9">
        <f t="shared" si="55"/>
        <v>0</v>
      </c>
      <c r="J127" s="10">
        <f>SUM(G127/D127*100)</f>
        <v>100</v>
      </c>
      <c r="K127" s="10">
        <v>0</v>
      </c>
      <c r="L127" s="86"/>
    </row>
    <row r="128" spans="1:12" ht="78">
      <c r="A128" s="48"/>
      <c r="B128" s="1" t="s">
        <v>178</v>
      </c>
      <c r="C128" s="13">
        <f>D128+E128</f>
        <v>500</v>
      </c>
      <c r="D128" s="10">
        <v>500</v>
      </c>
      <c r="E128" s="10"/>
      <c r="F128" s="13">
        <f>G128+H128</f>
        <v>0</v>
      </c>
      <c r="G128" s="10"/>
      <c r="H128" s="10"/>
      <c r="I128" s="9"/>
      <c r="J128" s="10">
        <f>SUM(G128/D128*100)</f>
        <v>0</v>
      </c>
      <c r="K128" s="10">
        <v>1</v>
      </c>
      <c r="L128" s="86"/>
    </row>
    <row r="129" spans="1:12" ht="15">
      <c r="A129" s="49" t="s">
        <v>10</v>
      </c>
      <c r="B129" s="44" t="s">
        <v>30</v>
      </c>
      <c r="C129" s="41">
        <f>C134+C130+C132</f>
        <v>19203.199999999997</v>
      </c>
      <c r="D129" s="41">
        <f aca="true" t="shared" si="56" ref="D129:I129">D134+D130+D132</f>
        <v>18874.9</v>
      </c>
      <c r="E129" s="41">
        <f t="shared" si="56"/>
        <v>328.3</v>
      </c>
      <c r="F129" s="41">
        <f t="shared" si="56"/>
        <v>2042.8999999999999</v>
      </c>
      <c r="G129" s="41">
        <f t="shared" si="56"/>
        <v>2042.8999999999999</v>
      </c>
      <c r="H129" s="41">
        <f t="shared" si="56"/>
        <v>0</v>
      </c>
      <c r="I129" s="41">
        <f t="shared" si="56"/>
        <v>16832</v>
      </c>
      <c r="J129" s="41">
        <f>J134+J130</f>
        <v>43.974097023302775</v>
      </c>
      <c r="K129" s="35">
        <v>0</v>
      </c>
      <c r="L129" s="86"/>
    </row>
    <row r="130" spans="1:12" ht="30.75">
      <c r="A130" s="33" t="s">
        <v>135</v>
      </c>
      <c r="B130" s="39" t="s">
        <v>95</v>
      </c>
      <c r="C130" s="34">
        <f aca="true" t="shared" si="57" ref="C130:H132">C131</f>
        <v>7902.3</v>
      </c>
      <c r="D130" s="34">
        <f t="shared" si="57"/>
        <v>7902.3</v>
      </c>
      <c r="E130" s="34">
        <f t="shared" si="57"/>
        <v>0</v>
      </c>
      <c r="F130" s="34">
        <f t="shared" si="57"/>
        <v>1975.6</v>
      </c>
      <c r="G130" s="34">
        <f t="shared" si="57"/>
        <v>1975.6</v>
      </c>
      <c r="H130" s="34">
        <f t="shared" si="57"/>
        <v>0</v>
      </c>
      <c r="I130" s="9">
        <f t="shared" si="55"/>
        <v>5926.700000000001</v>
      </c>
      <c r="J130" s="40">
        <f>SUM(G130/D130*100)</f>
        <v>25.000316363590347</v>
      </c>
      <c r="K130" s="40">
        <v>0</v>
      </c>
      <c r="L130" s="86"/>
    </row>
    <row r="131" spans="1:12" ht="15">
      <c r="A131" s="8"/>
      <c r="B131" s="2" t="s">
        <v>70</v>
      </c>
      <c r="C131" s="103">
        <f>D131+E131</f>
        <v>7902.3</v>
      </c>
      <c r="D131" s="98">
        <v>7902.3</v>
      </c>
      <c r="E131" s="10"/>
      <c r="F131" s="13">
        <f>G131+H131</f>
        <v>1975.6</v>
      </c>
      <c r="G131" s="10">
        <v>1975.6</v>
      </c>
      <c r="H131" s="10"/>
      <c r="I131" s="9">
        <f t="shared" si="55"/>
        <v>5926.700000000001</v>
      </c>
      <c r="J131" s="10">
        <f>SUM(G131/D131*100)</f>
        <v>25.000316363590347</v>
      </c>
      <c r="K131" s="10">
        <v>0</v>
      </c>
      <c r="L131" s="86"/>
    </row>
    <row r="132" spans="1:12" ht="30.75">
      <c r="A132" s="33" t="s">
        <v>166</v>
      </c>
      <c r="B132" s="39" t="s">
        <v>41</v>
      </c>
      <c r="C132" s="34">
        <f t="shared" si="57"/>
        <v>10942.4</v>
      </c>
      <c r="D132" s="34">
        <f t="shared" si="57"/>
        <v>10614.1</v>
      </c>
      <c r="E132" s="34">
        <f t="shared" si="57"/>
        <v>328.3</v>
      </c>
      <c r="F132" s="34">
        <f t="shared" si="57"/>
        <v>0</v>
      </c>
      <c r="G132" s="34">
        <f t="shared" si="57"/>
        <v>0</v>
      </c>
      <c r="H132" s="34">
        <f t="shared" si="57"/>
        <v>0</v>
      </c>
      <c r="I132" s="9">
        <f>SUM(D132-G132)</f>
        <v>10614.1</v>
      </c>
      <c r="J132" s="40">
        <f>SUM(G132/D132*100)</f>
        <v>0</v>
      </c>
      <c r="K132" s="40">
        <v>0</v>
      </c>
      <c r="L132" s="86"/>
    </row>
    <row r="133" spans="1:12" ht="15">
      <c r="A133" s="8"/>
      <c r="B133" s="2" t="s">
        <v>111</v>
      </c>
      <c r="C133" s="103">
        <f>D133+E133</f>
        <v>10942.4</v>
      </c>
      <c r="D133" s="98">
        <v>10614.1</v>
      </c>
      <c r="E133" s="10">
        <v>328.3</v>
      </c>
      <c r="F133" s="103">
        <f>G133+H133</f>
        <v>0</v>
      </c>
      <c r="G133" s="10"/>
      <c r="H133" s="10"/>
      <c r="I133" s="9"/>
      <c r="J133" s="10"/>
      <c r="K133" s="10"/>
      <c r="L133" s="86"/>
    </row>
    <row r="134" spans="1:12" ht="15">
      <c r="A134" s="58" t="s">
        <v>141</v>
      </c>
      <c r="B134" s="39" t="s">
        <v>75</v>
      </c>
      <c r="C134" s="40">
        <f>C135+C136</f>
        <v>358.5</v>
      </c>
      <c r="D134" s="40">
        <f aca="true" t="shared" si="58" ref="D134:J134">D135+D136</f>
        <v>358.5</v>
      </c>
      <c r="E134" s="40">
        <f t="shared" si="58"/>
        <v>0</v>
      </c>
      <c r="F134" s="40">
        <f t="shared" si="58"/>
        <v>67.3</v>
      </c>
      <c r="G134" s="40">
        <f t="shared" si="58"/>
        <v>67.3</v>
      </c>
      <c r="H134" s="40">
        <f t="shared" si="58"/>
        <v>0</v>
      </c>
      <c r="I134" s="40">
        <f t="shared" si="58"/>
        <v>291.2</v>
      </c>
      <c r="J134" s="40">
        <f t="shared" si="58"/>
        <v>18.973780659712432</v>
      </c>
      <c r="K134" s="40">
        <v>0</v>
      </c>
      <c r="L134" s="86"/>
    </row>
    <row r="135" spans="1:12" ht="15">
      <c r="A135" s="48"/>
      <c r="B135" s="1" t="s">
        <v>76</v>
      </c>
      <c r="C135" s="13">
        <f>D135+E135</f>
        <v>354.7</v>
      </c>
      <c r="D135" s="10">
        <v>354.7</v>
      </c>
      <c r="E135" s="10"/>
      <c r="F135" s="13">
        <f>G135+H135</f>
        <v>67.3</v>
      </c>
      <c r="G135" s="10">
        <v>67.3</v>
      </c>
      <c r="H135" s="10"/>
      <c r="I135" s="13">
        <f t="shared" si="55"/>
        <v>287.4</v>
      </c>
      <c r="J135" s="10">
        <f aca="true" t="shared" si="59" ref="J135:J144">SUM(G135/D135*100)</f>
        <v>18.973780659712432</v>
      </c>
      <c r="K135" s="10">
        <v>0</v>
      </c>
      <c r="L135" s="86"/>
    </row>
    <row r="136" spans="1:12" ht="15">
      <c r="A136" s="48"/>
      <c r="B136" s="1" t="s">
        <v>77</v>
      </c>
      <c r="C136" s="13">
        <f>D136+E136</f>
        <v>3.8</v>
      </c>
      <c r="D136" s="10">
        <v>3.8</v>
      </c>
      <c r="E136" s="10"/>
      <c r="F136" s="13">
        <f>G136+H136</f>
        <v>0</v>
      </c>
      <c r="G136" s="10"/>
      <c r="H136" s="10"/>
      <c r="I136" s="13">
        <f t="shared" si="55"/>
        <v>3.8</v>
      </c>
      <c r="J136" s="10">
        <f t="shared" si="59"/>
        <v>0</v>
      </c>
      <c r="K136" s="10">
        <v>0</v>
      </c>
      <c r="L136" s="86"/>
    </row>
    <row r="137" spans="1:12" ht="15">
      <c r="A137" s="49" t="s">
        <v>11</v>
      </c>
      <c r="B137" s="44" t="s">
        <v>31</v>
      </c>
      <c r="C137" s="41">
        <f aca="true" t="shared" si="60" ref="C137:H137">C140+C138</f>
        <v>6231.7</v>
      </c>
      <c r="D137" s="41">
        <f t="shared" si="60"/>
        <v>6231.7</v>
      </c>
      <c r="E137" s="41">
        <f t="shared" si="60"/>
        <v>0</v>
      </c>
      <c r="F137" s="41">
        <f t="shared" si="60"/>
        <v>1280.1</v>
      </c>
      <c r="G137" s="41">
        <f t="shared" si="60"/>
        <v>1280.1</v>
      </c>
      <c r="H137" s="41">
        <f t="shared" si="60"/>
        <v>0</v>
      </c>
      <c r="I137" s="41" t="e">
        <f>I140+I138+#REF!</f>
        <v>#REF!</v>
      </c>
      <c r="J137" s="35">
        <f t="shared" si="59"/>
        <v>20.541746232970134</v>
      </c>
      <c r="K137" s="35">
        <v>0</v>
      </c>
      <c r="L137" s="86"/>
    </row>
    <row r="138" spans="1:12" ht="30.75">
      <c r="A138" s="33" t="s">
        <v>80</v>
      </c>
      <c r="B138" s="39" t="s">
        <v>95</v>
      </c>
      <c r="C138" s="34">
        <f aca="true" t="shared" si="61" ref="C138:H138">C139</f>
        <v>4893.2</v>
      </c>
      <c r="D138" s="34">
        <f t="shared" si="61"/>
        <v>4893.2</v>
      </c>
      <c r="E138" s="34">
        <f t="shared" si="61"/>
        <v>0</v>
      </c>
      <c r="F138" s="34">
        <f t="shared" si="61"/>
        <v>1223.3</v>
      </c>
      <c r="G138" s="34">
        <f t="shared" si="61"/>
        <v>1223.3</v>
      </c>
      <c r="H138" s="34">
        <f t="shared" si="61"/>
        <v>0</v>
      </c>
      <c r="I138" s="9">
        <f t="shared" si="55"/>
        <v>3669.8999999999996</v>
      </c>
      <c r="J138" s="40">
        <f t="shared" si="59"/>
        <v>25</v>
      </c>
      <c r="K138" s="40">
        <v>0</v>
      </c>
      <c r="L138" s="86"/>
    </row>
    <row r="139" spans="1:12" ht="15">
      <c r="A139" s="106"/>
      <c r="B139" s="2" t="s">
        <v>70</v>
      </c>
      <c r="C139" s="103">
        <f>D139+E139</f>
        <v>4893.2</v>
      </c>
      <c r="D139" s="98">
        <v>4893.2</v>
      </c>
      <c r="E139" s="10"/>
      <c r="F139" s="13">
        <f>G139+H139</f>
        <v>1223.3</v>
      </c>
      <c r="G139" s="10">
        <v>1223.3</v>
      </c>
      <c r="H139" s="10"/>
      <c r="I139" s="9">
        <f t="shared" si="55"/>
        <v>3669.8999999999996</v>
      </c>
      <c r="J139" s="10">
        <f t="shared" si="59"/>
        <v>25</v>
      </c>
      <c r="K139" s="10">
        <v>0</v>
      </c>
      <c r="L139" s="86"/>
    </row>
    <row r="140" spans="1:12" ht="15">
      <c r="A140" s="58" t="s">
        <v>144</v>
      </c>
      <c r="B140" s="39" t="s">
        <v>75</v>
      </c>
      <c r="C140" s="40">
        <f>C141+C142+C143</f>
        <v>1338.5</v>
      </c>
      <c r="D140" s="40">
        <f aca="true" t="shared" si="62" ref="D140:I140">D141+D142+D143</f>
        <v>1338.5</v>
      </c>
      <c r="E140" s="40">
        <f t="shared" si="62"/>
        <v>0</v>
      </c>
      <c r="F140" s="40">
        <f t="shared" si="62"/>
        <v>56.8</v>
      </c>
      <c r="G140" s="40">
        <f t="shared" si="62"/>
        <v>56.8</v>
      </c>
      <c r="H140" s="40">
        <f t="shared" si="62"/>
        <v>0</v>
      </c>
      <c r="I140" s="40">
        <f t="shared" si="62"/>
        <v>1281.7</v>
      </c>
      <c r="J140" s="40">
        <f t="shared" si="59"/>
        <v>4.243556219648861</v>
      </c>
      <c r="K140" s="40">
        <v>0</v>
      </c>
      <c r="L140" s="86"/>
    </row>
    <row r="141" spans="1:12" ht="15">
      <c r="A141" s="48"/>
      <c r="B141" s="1" t="s">
        <v>76</v>
      </c>
      <c r="C141" s="13">
        <f>D141+E141</f>
        <v>354.7</v>
      </c>
      <c r="D141" s="10">
        <v>354.7</v>
      </c>
      <c r="E141" s="10"/>
      <c r="F141" s="13">
        <f>G141+H141</f>
        <v>56.8</v>
      </c>
      <c r="G141" s="10">
        <v>56.8</v>
      </c>
      <c r="H141" s="10"/>
      <c r="I141" s="9">
        <f t="shared" si="55"/>
        <v>297.9</v>
      </c>
      <c r="J141" s="10">
        <f t="shared" si="59"/>
        <v>16.013532562729065</v>
      </c>
      <c r="K141" s="10">
        <v>0</v>
      </c>
      <c r="L141" s="86"/>
    </row>
    <row r="142" spans="1:12" ht="15">
      <c r="A142" s="48"/>
      <c r="B142" s="1" t="s">
        <v>77</v>
      </c>
      <c r="C142" s="13">
        <f>D142+E142</f>
        <v>3.8</v>
      </c>
      <c r="D142" s="10">
        <v>3.8</v>
      </c>
      <c r="E142" s="10"/>
      <c r="F142" s="13">
        <f>G142+H142</f>
        <v>0</v>
      </c>
      <c r="G142" s="10"/>
      <c r="H142" s="10"/>
      <c r="I142" s="9">
        <f t="shared" si="55"/>
        <v>3.8</v>
      </c>
      <c r="J142" s="10">
        <f t="shared" si="59"/>
        <v>0</v>
      </c>
      <c r="K142" s="10">
        <v>0</v>
      </c>
      <c r="L142" s="86"/>
    </row>
    <row r="143" spans="1:12" ht="62.25">
      <c r="A143" s="48"/>
      <c r="B143" s="1" t="s">
        <v>179</v>
      </c>
      <c r="C143" s="13">
        <f>D143+E143</f>
        <v>980</v>
      </c>
      <c r="D143" s="10">
        <v>980</v>
      </c>
      <c r="E143" s="10"/>
      <c r="F143" s="13">
        <f>G143+H143</f>
        <v>0</v>
      </c>
      <c r="G143" s="10"/>
      <c r="H143" s="10"/>
      <c r="I143" s="9">
        <f t="shared" si="55"/>
        <v>980</v>
      </c>
      <c r="J143" s="10">
        <f t="shared" si="59"/>
        <v>0</v>
      </c>
      <c r="K143" s="10"/>
      <c r="L143" s="86"/>
    </row>
    <row r="144" spans="1:12" ht="15">
      <c r="A144" s="49" t="s">
        <v>12</v>
      </c>
      <c r="B144" s="44" t="s">
        <v>32</v>
      </c>
      <c r="C144" s="41">
        <f aca="true" t="shared" si="63" ref="C144:H144">C149+C145+C147</f>
        <v>40113.399999999994</v>
      </c>
      <c r="D144" s="41">
        <f t="shared" si="63"/>
        <v>38928.6</v>
      </c>
      <c r="E144" s="41">
        <f t="shared" si="63"/>
        <v>1184.8</v>
      </c>
      <c r="F144" s="41">
        <f t="shared" si="63"/>
        <v>3472.5</v>
      </c>
      <c r="G144" s="41">
        <f t="shared" si="63"/>
        <v>3472.5</v>
      </c>
      <c r="H144" s="41">
        <f t="shared" si="63"/>
        <v>0</v>
      </c>
      <c r="I144" s="9">
        <f t="shared" si="55"/>
        <v>35456.1</v>
      </c>
      <c r="J144" s="35">
        <f t="shared" si="59"/>
        <v>8.920176939319678</v>
      </c>
      <c r="K144" s="35">
        <v>0</v>
      </c>
      <c r="L144" s="86"/>
    </row>
    <row r="145" spans="1:12" ht="30.75">
      <c r="A145" s="33" t="s">
        <v>113</v>
      </c>
      <c r="B145" s="39" t="s">
        <v>95</v>
      </c>
      <c r="C145" s="34">
        <f aca="true" t="shared" si="64" ref="C145:H147">C146</f>
        <v>13484.6</v>
      </c>
      <c r="D145" s="34">
        <f t="shared" si="64"/>
        <v>13484.6</v>
      </c>
      <c r="E145" s="34">
        <f t="shared" si="64"/>
        <v>0</v>
      </c>
      <c r="F145" s="34">
        <f t="shared" si="64"/>
        <v>3371.2</v>
      </c>
      <c r="G145" s="34">
        <f t="shared" si="64"/>
        <v>3371.2</v>
      </c>
      <c r="H145" s="34">
        <f t="shared" si="64"/>
        <v>0</v>
      </c>
      <c r="I145" s="9">
        <f>SUM(D145-G145)</f>
        <v>10113.400000000001</v>
      </c>
      <c r="J145" s="40">
        <f aca="true" t="shared" si="65" ref="J145:J154">SUM(G145/D145*100)</f>
        <v>25.000370793349447</v>
      </c>
      <c r="K145" s="40">
        <v>0</v>
      </c>
      <c r="L145" s="86"/>
    </row>
    <row r="146" spans="1:12" ht="15">
      <c r="A146" s="8"/>
      <c r="B146" s="2" t="s">
        <v>70</v>
      </c>
      <c r="C146" s="103">
        <f>D146+E146</f>
        <v>13484.6</v>
      </c>
      <c r="D146" s="98">
        <v>13484.6</v>
      </c>
      <c r="E146" s="10"/>
      <c r="F146" s="13">
        <f>G146+H146</f>
        <v>3371.2</v>
      </c>
      <c r="G146" s="10">
        <v>3371.2</v>
      </c>
      <c r="H146" s="10"/>
      <c r="I146" s="9">
        <f t="shared" si="55"/>
        <v>10113.400000000001</v>
      </c>
      <c r="J146" s="10">
        <f t="shared" si="65"/>
        <v>25.000370793349447</v>
      </c>
      <c r="K146" s="10">
        <v>0</v>
      </c>
      <c r="L146" s="86"/>
    </row>
    <row r="147" spans="1:12" ht="30.75">
      <c r="A147" s="33" t="s">
        <v>163</v>
      </c>
      <c r="B147" s="39" t="s">
        <v>41</v>
      </c>
      <c r="C147" s="34">
        <f t="shared" si="64"/>
        <v>22411.899999999998</v>
      </c>
      <c r="D147" s="34">
        <f t="shared" si="64"/>
        <v>21227.1</v>
      </c>
      <c r="E147" s="34">
        <f t="shared" si="64"/>
        <v>1184.8</v>
      </c>
      <c r="F147" s="34">
        <f t="shared" si="64"/>
        <v>0</v>
      </c>
      <c r="G147" s="34">
        <f t="shared" si="64"/>
        <v>0</v>
      </c>
      <c r="H147" s="34">
        <f t="shared" si="64"/>
        <v>0</v>
      </c>
      <c r="I147" s="9">
        <f>SUM(D147-G147)</f>
        <v>21227.1</v>
      </c>
      <c r="J147" s="40">
        <f>SUM(G147/D147*100)</f>
        <v>0</v>
      </c>
      <c r="K147" s="40">
        <v>0</v>
      </c>
      <c r="L147" s="86"/>
    </row>
    <row r="148" spans="1:12" ht="15">
      <c r="A148" s="8"/>
      <c r="B148" s="2" t="s">
        <v>111</v>
      </c>
      <c r="C148" s="13">
        <f>D148+E148</f>
        <v>22411.899999999998</v>
      </c>
      <c r="D148" s="98">
        <v>21227.1</v>
      </c>
      <c r="E148" s="10">
        <v>1184.8</v>
      </c>
      <c r="F148" s="13">
        <f>G148+H148</f>
        <v>0</v>
      </c>
      <c r="G148" s="10"/>
      <c r="H148" s="10"/>
      <c r="I148" s="9"/>
      <c r="J148" s="10"/>
      <c r="K148" s="10"/>
      <c r="L148" s="86"/>
    </row>
    <row r="149" spans="1:12" ht="15">
      <c r="A149" s="51" t="s">
        <v>164</v>
      </c>
      <c r="B149" s="39" t="s">
        <v>75</v>
      </c>
      <c r="C149" s="40">
        <f>C150+C151+C152</f>
        <v>4216.9</v>
      </c>
      <c r="D149" s="40">
        <f aca="true" t="shared" si="66" ref="D149:I149">D150+D151+D152</f>
        <v>4216.9</v>
      </c>
      <c r="E149" s="40">
        <f t="shared" si="66"/>
        <v>0</v>
      </c>
      <c r="F149" s="40">
        <f t="shared" si="66"/>
        <v>101.3</v>
      </c>
      <c r="G149" s="40">
        <f t="shared" si="66"/>
        <v>101.3</v>
      </c>
      <c r="H149" s="40">
        <f t="shared" si="66"/>
        <v>0</v>
      </c>
      <c r="I149" s="40">
        <f t="shared" si="66"/>
        <v>615.6</v>
      </c>
      <c r="J149" s="40">
        <f>J150+J151</f>
        <v>14.281686169462851</v>
      </c>
      <c r="K149" s="40">
        <v>0</v>
      </c>
      <c r="L149" s="86"/>
    </row>
    <row r="150" spans="1:12" ht="15">
      <c r="A150" s="48"/>
      <c r="B150" s="1" t="s">
        <v>76</v>
      </c>
      <c r="C150" s="13">
        <f>D150+E150</f>
        <v>709.3</v>
      </c>
      <c r="D150" s="10">
        <v>709.3</v>
      </c>
      <c r="E150" s="10"/>
      <c r="F150" s="13">
        <f>G150+H150</f>
        <v>101.3</v>
      </c>
      <c r="G150" s="10">
        <v>101.3</v>
      </c>
      <c r="H150" s="10"/>
      <c r="I150" s="9">
        <f t="shared" si="55"/>
        <v>608</v>
      </c>
      <c r="J150" s="10">
        <f t="shared" si="65"/>
        <v>14.281686169462851</v>
      </c>
      <c r="K150" s="10">
        <v>0</v>
      </c>
      <c r="L150" s="86"/>
    </row>
    <row r="151" spans="1:12" ht="15">
      <c r="A151" s="48"/>
      <c r="B151" s="1" t="s">
        <v>77</v>
      </c>
      <c r="C151" s="13">
        <f>D151+E151</f>
        <v>7.6</v>
      </c>
      <c r="D151" s="10">
        <v>7.6</v>
      </c>
      <c r="E151" s="10"/>
      <c r="F151" s="13">
        <f>G151+H151</f>
        <v>0</v>
      </c>
      <c r="G151" s="10"/>
      <c r="H151" s="10"/>
      <c r="I151" s="9">
        <f t="shared" si="55"/>
        <v>7.6</v>
      </c>
      <c r="J151" s="10">
        <f t="shared" si="65"/>
        <v>0</v>
      </c>
      <c r="K151" s="10">
        <v>0</v>
      </c>
      <c r="L151" s="86"/>
    </row>
    <row r="152" spans="1:12" ht="62.25">
      <c r="A152" s="48"/>
      <c r="B152" s="1" t="s">
        <v>165</v>
      </c>
      <c r="C152" s="13">
        <f>D152+E152</f>
        <v>3500</v>
      </c>
      <c r="D152" s="10">
        <v>3500</v>
      </c>
      <c r="E152" s="10"/>
      <c r="F152" s="13">
        <f>G152+H152</f>
        <v>0</v>
      </c>
      <c r="G152" s="10"/>
      <c r="H152" s="10"/>
      <c r="I152" s="9"/>
      <c r="J152" s="10">
        <f t="shared" si="65"/>
        <v>0</v>
      </c>
      <c r="K152" s="10"/>
      <c r="L152" s="86"/>
    </row>
    <row r="153" spans="1:14" s="60" customFormat="1" ht="15">
      <c r="A153" s="49"/>
      <c r="B153" s="14" t="s">
        <v>35</v>
      </c>
      <c r="C153" s="15">
        <f aca="true" t="shared" si="67" ref="C153:H153">C69+C84+C90+C98+C106+C118+C129+C137+C144</f>
        <v>290503.0000000001</v>
      </c>
      <c r="D153" s="15">
        <f t="shared" si="67"/>
        <v>271259.5</v>
      </c>
      <c r="E153" s="15">
        <f t="shared" si="67"/>
        <v>19243.499999999993</v>
      </c>
      <c r="F153" s="15">
        <f t="shared" si="67"/>
        <v>26786.7</v>
      </c>
      <c r="G153" s="15">
        <f t="shared" si="67"/>
        <v>26315.4</v>
      </c>
      <c r="H153" s="15">
        <f t="shared" si="67"/>
        <v>471.30000000000007</v>
      </c>
      <c r="I153" s="9">
        <f t="shared" si="55"/>
        <v>244944.1</v>
      </c>
      <c r="J153" s="35">
        <f t="shared" si="65"/>
        <v>9.701190188730719</v>
      </c>
      <c r="K153" s="35">
        <f>SUM(H153/E153*100)</f>
        <v>2.4491386702003286</v>
      </c>
      <c r="L153" s="87"/>
      <c r="M153" s="52"/>
      <c r="N153" s="52"/>
    </row>
    <row r="154" spans="1:12" ht="17.25">
      <c r="A154" s="61"/>
      <c r="B154" s="45" t="s">
        <v>33</v>
      </c>
      <c r="C154" s="17">
        <f aca="true" t="shared" si="68" ref="C154:H154">C153+C7</f>
        <v>2566400.6999999993</v>
      </c>
      <c r="D154" s="17">
        <f t="shared" si="68"/>
        <v>2526510.6999999993</v>
      </c>
      <c r="E154" s="17">
        <f t="shared" si="68"/>
        <v>39889.99999999999</v>
      </c>
      <c r="F154" s="17">
        <f t="shared" si="68"/>
        <v>443923</v>
      </c>
      <c r="G154" s="17">
        <f t="shared" si="68"/>
        <v>439757.80000000005</v>
      </c>
      <c r="H154" s="17">
        <f t="shared" si="68"/>
        <v>4165.2</v>
      </c>
      <c r="I154" s="9">
        <f t="shared" si="55"/>
        <v>2086752.8999999992</v>
      </c>
      <c r="J154" s="12">
        <f t="shared" si="65"/>
        <v>17.40573669448541</v>
      </c>
      <c r="K154" s="12">
        <f>SUM(H154/E154*100)</f>
        <v>10.441714715467537</v>
      </c>
      <c r="L154" s="86"/>
    </row>
    <row r="155" spans="4:11" ht="13.5">
      <c r="D155" s="25"/>
      <c r="E155" s="25"/>
      <c r="F155" s="25"/>
      <c r="G155" s="25"/>
      <c r="H155" s="25"/>
      <c r="I155" s="25"/>
      <c r="J155" s="25"/>
      <c r="K155" s="25"/>
    </row>
    <row r="156" spans="2:11" ht="15">
      <c r="B156" s="120" t="s">
        <v>90</v>
      </c>
      <c r="C156" s="127" t="s">
        <v>38</v>
      </c>
      <c r="D156" s="128"/>
      <c r="E156" s="129"/>
      <c r="F156" s="124" t="s">
        <v>39</v>
      </c>
      <c r="G156" s="125"/>
      <c r="H156" s="126"/>
      <c r="I156" s="46"/>
      <c r="J156" s="117" t="s">
        <v>67</v>
      </c>
      <c r="K156" s="117"/>
    </row>
    <row r="157" spans="2:11" ht="30.75">
      <c r="B157" s="121"/>
      <c r="C157" s="3" t="s">
        <v>147</v>
      </c>
      <c r="D157" s="3" t="s">
        <v>44</v>
      </c>
      <c r="E157" s="3" t="s">
        <v>45</v>
      </c>
      <c r="F157" s="3" t="s">
        <v>147</v>
      </c>
      <c r="G157" s="3" t="s">
        <v>44</v>
      </c>
      <c r="H157" s="3" t="s">
        <v>45</v>
      </c>
      <c r="I157" s="3"/>
      <c r="J157" s="3" t="s">
        <v>44</v>
      </c>
      <c r="K157" s="3" t="s">
        <v>45</v>
      </c>
    </row>
    <row r="158" spans="2:11" ht="13.5">
      <c r="B158" s="62" t="s">
        <v>81</v>
      </c>
      <c r="C158" s="18">
        <f aca="true" t="shared" si="69" ref="C158:H158">C159+C160</f>
        <v>757389</v>
      </c>
      <c r="D158" s="18">
        <f t="shared" si="69"/>
        <v>717499</v>
      </c>
      <c r="E158" s="18">
        <f t="shared" si="69"/>
        <v>39890</v>
      </c>
      <c r="F158" s="36">
        <f t="shared" si="69"/>
        <v>52501.4</v>
      </c>
      <c r="G158" s="36">
        <f t="shared" si="69"/>
        <v>48336.2</v>
      </c>
      <c r="H158" s="18">
        <f t="shared" si="69"/>
        <v>4165.2</v>
      </c>
      <c r="I158" s="18"/>
      <c r="J158" s="21">
        <f aca="true" t="shared" si="70" ref="J158:K160">G158/D158*100</f>
        <v>6.736762002455753</v>
      </c>
      <c r="K158" s="21">
        <f t="shared" si="70"/>
        <v>10.441714715467535</v>
      </c>
    </row>
    <row r="159" spans="2:11" ht="13.5">
      <c r="B159" s="53" t="s">
        <v>82</v>
      </c>
      <c r="C159" s="72">
        <f>D159+E159</f>
        <v>566826.1</v>
      </c>
      <c r="D159" s="19">
        <f>D13+D14+D15+D39+D40+D42+D43+D47+D50+D52+D53+D54+D55</f>
        <v>546179.6</v>
      </c>
      <c r="E159" s="19">
        <f>E13+E14+E15+E39+E40+E42+E43+E47+E50+E52+E53+E54+E55</f>
        <v>20646.5</v>
      </c>
      <c r="F159" s="72">
        <f>G159+H159</f>
        <v>48983</v>
      </c>
      <c r="G159" s="19">
        <f>G13+G14+G15+G39+G40+G42+G43+G47+G50+G52+G53+G54+G55</f>
        <v>45289.1</v>
      </c>
      <c r="H159" s="19">
        <f>H13+H14+H15+H39+H40+H42+H43+H47+H50+H52+H53+H54+H55</f>
        <v>3693.8999999999996</v>
      </c>
      <c r="I159" s="19" t="e">
        <f>#REF!+I47+I50+I52+I14+I54+#REF!+I39+I13+#REF!+#REF!+I42+#REF!+I55</f>
        <v>#REF!</v>
      </c>
      <c r="J159" s="20">
        <f t="shared" si="70"/>
        <v>8.291979414829848</v>
      </c>
      <c r="K159" s="20">
        <f t="shared" si="70"/>
        <v>17.891167994575348</v>
      </c>
    </row>
    <row r="160" spans="2:11" ht="13.5">
      <c r="B160" s="53" t="s">
        <v>71</v>
      </c>
      <c r="C160" s="72">
        <f>D160+E160</f>
        <v>190562.9</v>
      </c>
      <c r="D160" s="19">
        <f>D73+D76+D78+D80+D94+D102+D110+D112+D122+D124+D148+D133+D74+D114</f>
        <v>171319.4</v>
      </c>
      <c r="E160" s="19">
        <f>E73+E76+E78+E80+E94+E102+E110+E112+E122+E124+E148+E133+E74+E114</f>
        <v>19243.499999999996</v>
      </c>
      <c r="F160" s="72">
        <f>G160+H160</f>
        <v>3518.4</v>
      </c>
      <c r="G160" s="19">
        <f>G73+G76+G78+G80+G94+G102+G110+G112+G122+G124+G148+G133+G74+G114</f>
        <v>3047.1</v>
      </c>
      <c r="H160" s="19">
        <f>H73+H76+H78+H80+H94+H102+H110+H112+H122+H124+H148+H133+H74+H114</f>
        <v>471.30000000000007</v>
      </c>
      <c r="I160" s="19" t="e">
        <f>I73+I78+#REF!+I76+#REF!+#REF!</f>
        <v>#REF!</v>
      </c>
      <c r="J160" s="20">
        <f t="shared" si="70"/>
        <v>1.7786076766554169</v>
      </c>
      <c r="K160" s="20">
        <f t="shared" si="70"/>
        <v>2.449138670200328</v>
      </c>
    </row>
    <row r="161" spans="2:11" ht="13.5">
      <c r="B161" s="62" t="s">
        <v>83</v>
      </c>
      <c r="C161" s="18">
        <f aca="true" t="shared" si="71" ref="C161:H161">C162+C163</f>
        <v>1485408.8000000003</v>
      </c>
      <c r="D161" s="18">
        <f t="shared" si="71"/>
        <v>1485408.8000000003</v>
      </c>
      <c r="E161" s="18">
        <f t="shared" si="71"/>
        <v>0</v>
      </c>
      <c r="F161" s="36">
        <f t="shared" si="71"/>
        <v>313395.6000000001</v>
      </c>
      <c r="G161" s="36">
        <f t="shared" si="71"/>
        <v>313395.6000000001</v>
      </c>
      <c r="H161" s="18">
        <f t="shared" si="71"/>
        <v>0</v>
      </c>
      <c r="I161" s="18"/>
      <c r="J161" s="21">
        <f>G161/D161*100</f>
        <v>21.09827274484977</v>
      </c>
      <c r="K161" s="21">
        <v>0</v>
      </c>
    </row>
    <row r="162" spans="2:11" ht="13.5">
      <c r="B162" s="53" t="s">
        <v>84</v>
      </c>
      <c r="C162" s="72">
        <f>D162+E162</f>
        <v>1479545.6000000003</v>
      </c>
      <c r="D162" s="19">
        <f>D9+D11+D16+D17+D18+D19+D20+D21+D22+D23+D25+D26+D27+D28+D29+D30+D31+D32+D33+D34+D36+D37+D44+D46+D49+D57+D58+D59+D63+D64+D10</f>
        <v>1479545.6000000003</v>
      </c>
      <c r="E162" s="19">
        <f>E9+E11+E16+E17+E18+E19+E20+E21+E22+E23+E25+E26+E27+E28+E29+E30+E31+E32+E33+E34+E36+E37+E44+E46+E49+E57+E58+E59+E63+E64</f>
        <v>0</v>
      </c>
      <c r="F162" s="72">
        <f>G162+H162</f>
        <v>312401.6000000001</v>
      </c>
      <c r="G162" s="19">
        <f>G9+G11+G16+G17+G18+G19+G20+G21+G22+G23+G25+G26+G27+G28+G29+G30+G31+G32+G33+G34+G36+G37+G44+G46+G49+G57+G58+G59+G63+G64</f>
        <v>312401.6000000001</v>
      </c>
      <c r="H162" s="19">
        <f>H9+H11+H16+H17+H18+H19+H20+H21+H22+H23+H25+H26+H27+H28+H29+H30+H31+H32+H33+H34+H36+H37+H44+H46+H49+H57+H58+H59+H63+H64</f>
        <v>0</v>
      </c>
      <c r="I162" s="19">
        <f>I18+I19+I20+I21+I22+I25+I26+I27+I28+I31+I36+I44+I46+I49+I57+I58+I59+I63+I64+I37+I9+I16+I17+I32+I33+I34+I23</f>
        <v>1161799.7000000002</v>
      </c>
      <c r="J162" s="20">
        <f>G162/D162*100</f>
        <v>21.114698999476598</v>
      </c>
      <c r="K162" s="20">
        <v>0</v>
      </c>
    </row>
    <row r="163" spans="2:11" ht="13.5">
      <c r="B163" s="53" t="s">
        <v>85</v>
      </c>
      <c r="C163" s="72">
        <f>D163+E163</f>
        <v>5863.200000000001</v>
      </c>
      <c r="D163" s="19">
        <f>D82+D83+D88+D89+D96+D97+D104+D105+D116+D117+D126+D127+D135+D136+D141+D142+D150+D151</f>
        <v>5863.200000000001</v>
      </c>
      <c r="E163" s="19">
        <f>E82+E83+E88+E89+E96+E97+E104+E105+E116+E117+E126+E127+E135+E136+E141+E142+E150+E151</f>
        <v>0</v>
      </c>
      <c r="F163" s="72">
        <f>G163+H163</f>
        <v>993.9999999999999</v>
      </c>
      <c r="G163" s="19">
        <f>G82+G83+G88+G89+G96+G97+G104+G105+G116+G117+G126+G127+G135+G136+G141+G142+G150+G151</f>
        <v>993.9999999999999</v>
      </c>
      <c r="H163" s="19">
        <f>H82+H83+H88+H89+H96+H97+H104+H105+H116+H117+H126+H127+H135+H136+H141+H142+H150+H151</f>
        <v>0</v>
      </c>
      <c r="I163" s="19">
        <f>I82+I83+I88+I89+I96+I97+I104+I105+I116+I117+I126+I127+I135+I136+I141+I142+I150+I151</f>
        <v>4869.200000000002</v>
      </c>
      <c r="J163" s="20">
        <f>G163/D163*100</f>
        <v>16.95319961795606</v>
      </c>
      <c r="K163" s="20">
        <v>0</v>
      </c>
    </row>
    <row r="164" spans="2:11" ht="13.5">
      <c r="B164" s="62" t="s">
        <v>86</v>
      </c>
      <c r="C164" s="18">
        <f aca="true" t="shared" si="72" ref="C164:H164">C165+C166</f>
        <v>11500</v>
      </c>
      <c r="D164" s="18">
        <f t="shared" si="72"/>
        <v>11500</v>
      </c>
      <c r="E164" s="18">
        <f t="shared" si="72"/>
        <v>0</v>
      </c>
      <c r="F164" s="36">
        <f t="shared" si="72"/>
        <v>0</v>
      </c>
      <c r="G164" s="36">
        <f t="shared" si="72"/>
        <v>0</v>
      </c>
      <c r="H164" s="18">
        <f t="shared" si="72"/>
        <v>0</v>
      </c>
      <c r="I164" s="18"/>
      <c r="J164" s="21">
        <v>0</v>
      </c>
      <c r="K164" s="21">
        <v>0</v>
      </c>
    </row>
    <row r="165" spans="2:11" ht="13.5">
      <c r="B165" s="53" t="s">
        <v>87</v>
      </c>
      <c r="C165" s="72">
        <f>D165+E165</f>
        <v>6520</v>
      </c>
      <c r="D165" s="19">
        <f>D65+D66+D67+D68</f>
        <v>6520</v>
      </c>
      <c r="E165" s="19">
        <f>E65+E66+E67+E68</f>
        <v>0</v>
      </c>
      <c r="F165" s="72">
        <f>G165+H165</f>
        <v>0</v>
      </c>
      <c r="G165" s="19">
        <f>G65+G66+G67+G68</f>
        <v>0</v>
      </c>
      <c r="H165" s="19">
        <f>H65+H66+H67+H68</f>
        <v>0</v>
      </c>
      <c r="I165" s="19" t="e">
        <f>#REF!</f>
        <v>#REF!</v>
      </c>
      <c r="J165" s="20">
        <v>0</v>
      </c>
      <c r="K165" s="20">
        <v>0</v>
      </c>
    </row>
    <row r="166" spans="2:11" ht="13.5">
      <c r="B166" s="53" t="s">
        <v>88</v>
      </c>
      <c r="C166" s="72">
        <f>D166+E166</f>
        <v>4980</v>
      </c>
      <c r="D166" s="19">
        <f>D152+D143+D128</f>
        <v>4980</v>
      </c>
      <c r="E166" s="19">
        <f>E152+E143+E128</f>
        <v>0</v>
      </c>
      <c r="F166" s="72">
        <f>G166+H166</f>
        <v>0</v>
      </c>
      <c r="G166" s="19">
        <f>G152+G143+G128</f>
        <v>0</v>
      </c>
      <c r="H166" s="19">
        <f>H152+H143+H128</f>
        <v>0</v>
      </c>
      <c r="I166" s="19" t="e">
        <f>#REF!+#REF!</f>
        <v>#REF!</v>
      </c>
      <c r="J166" s="20">
        <v>0</v>
      </c>
      <c r="K166" s="20">
        <v>0</v>
      </c>
    </row>
    <row r="167" spans="2:11" ht="13.5">
      <c r="B167" s="62" t="s">
        <v>102</v>
      </c>
      <c r="C167" s="18">
        <f aca="true" t="shared" si="73" ref="C167:H167">C168+C169</f>
        <v>312102.9</v>
      </c>
      <c r="D167" s="18">
        <f t="shared" si="73"/>
        <v>312102.9</v>
      </c>
      <c r="E167" s="18">
        <f t="shared" si="73"/>
        <v>0</v>
      </c>
      <c r="F167" s="36">
        <f t="shared" si="73"/>
        <v>78026</v>
      </c>
      <c r="G167" s="36">
        <f t="shared" si="73"/>
        <v>78026</v>
      </c>
      <c r="H167" s="18">
        <f t="shared" si="73"/>
        <v>0</v>
      </c>
      <c r="I167" s="18"/>
      <c r="J167" s="21">
        <f aca="true" t="shared" si="74" ref="J167:J172">G167/D167*100</f>
        <v>25.000088111965635</v>
      </c>
      <c r="K167" s="21">
        <v>0</v>
      </c>
    </row>
    <row r="168" spans="2:11" ht="13.5">
      <c r="B168" s="53" t="s">
        <v>103</v>
      </c>
      <c r="C168" s="72">
        <f>D168+E168</f>
        <v>223006</v>
      </c>
      <c r="D168" s="19">
        <f>D61</f>
        <v>223006</v>
      </c>
      <c r="E168" s="19">
        <f>E61</f>
        <v>0</v>
      </c>
      <c r="F168" s="72">
        <f>G168+H168</f>
        <v>55751.7</v>
      </c>
      <c r="G168" s="19">
        <f>G61</f>
        <v>55751.7</v>
      </c>
      <c r="H168" s="19">
        <f>H61</f>
        <v>0</v>
      </c>
      <c r="I168" s="19" t="e">
        <f>I61+#REF!+#REF!+#REF!</f>
        <v>#REF!</v>
      </c>
      <c r="J168" s="20">
        <f t="shared" si="74"/>
        <v>25.00008968368564</v>
      </c>
      <c r="K168" s="20">
        <v>0</v>
      </c>
    </row>
    <row r="169" spans="2:11" ht="13.5">
      <c r="B169" s="53" t="s">
        <v>104</v>
      </c>
      <c r="C169" s="72">
        <f>D169+E169</f>
        <v>89096.90000000001</v>
      </c>
      <c r="D169" s="19">
        <f>D71+D86+D92+D100+D108+D120+D131+D139+D146</f>
        <v>89096.90000000001</v>
      </c>
      <c r="E169" s="19">
        <f>E71+E86+E92+E100+E108+E120+E131+E139+E146</f>
        <v>0</v>
      </c>
      <c r="F169" s="72">
        <f>G169+H169</f>
        <v>22274.3</v>
      </c>
      <c r="G169" s="19">
        <f>G71+G86+G92+G100+G108+G120+G131+G139+G146</f>
        <v>22274.3</v>
      </c>
      <c r="H169" s="19">
        <f>H71+H86+H92+H100+H108+H120+H131+H139+H146</f>
        <v>0</v>
      </c>
      <c r="I169" s="19" t="e">
        <f>I71+I86+I92+I100+I120+I131+I139+I146+I108+#REF!+#REF!+#REF!</f>
        <v>#REF!</v>
      </c>
      <c r="J169" s="20">
        <f t="shared" si="74"/>
        <v>25.000084178012926</v>
      </c>
      <c r="K169" s="20">
        <v>0</v>
      </c>
    </row>
    <row r="170" spans="2:14" s="60" customFormat="1" ht="13.5">
      <c r="B170" s="62" t="s">
        <v>107</v>
      </c>
      <c r="C170" s="18">
        <f aca="true" t="shared" si="75" ref="C170:H170">C171+C172</f>
        <v>0</v>
      </c>
      <c r="D170" s="18">
        <f t="shared" si="75"/>
        <v>0</v>
      </c>
      <c r="E170" s="18">
        <f t="shared" si="75"/>
        <v>0</v>
      </c>
      <c r="F170" s="36">
        <f t="shared" si="75"/>
        <v>0</v>
      </c>
      <c r="G170" s="36">
        <f t="shared" si="75"/>
        <v>0</v>
      </c>
      <c r="H170" s="18">
        <f t="shared" si="75"/>
        <v>0</v>
      </c>
      <c r="I170" s="18"/>
      <c r="J170" s="21" t="e">
        <f t="shared" si="74"/>
        <v>#DIV/0!</v>
      </c>
      <c r="K170" s="21">
        <v>0</v>
      </c>
      <c r="L170" s="89"/>
      <c r="M170" s="52"/>
      <c r="N170" s="52"/>
    </row>
    <row r="171" spans="2:11" ht="13.5">
      <c r="B171" s="53" t="s">
        <v>131</v>
      </c>
      <c r="C171" s="72">
        <f>D171+E171</f>
        <v>0</v>
      </c>
      <c r="D171" s="19">
        <v>0</v>
      </c>
      <c r="E171" s="19">
        <v>0</v>
      </c>
      <c r="F171" s="72">
        <f>G171+H171</f>
        <v>0</v>
      </c>
      <c r="G171" s="19">
        <v>0</v>
      </c>
      <c r="H171" s="19">
        <v>0</v>
      </c>
      <c r="I171" s="19" t="e">
        <f>#REF!</f>
        <v>#REF!</v>
      </c>
      <c r="J171" s="20" t="e">
        <f t="shared" si="74"/>
        <v>#DIV/0!</v>
      </c>
      <c r="K171" s="20">
        <v>0</v>
      </c>
    </row>
    <row r="172" spans="2:11" ht="13.5">
      <c r="B172" s="53" t="s">
        <v>146</v>
      </c>
      <c r="C172" s="72">
        <f>D172+E172</f>
        <v>0</v>
      </c>
      <c r="D172" s="72"/>
      <c r="E172" s="72"/>
      <c r="F172" s="72">
        <f>G172+H172</f>
        <v>0</v>
      </c>
      <c r="G172" s="19"/>
      <c r="H172" s="19"/>
      <c r="I172" s="19" t="e">
        <f>#REF!</f>
        <v>#REF!</v>
      </c>
      <c r="J172" s="20" t="e">
        <f t="shared" si="74"/>
        <v>#DIV/0!</v>
      </c>
      <c r="K172" s="20" t="e">
        <f>H172/E172*100</f>
        <v>#DIV/0!</v>
      </c>
    </row>
    <row r="173" spans="2:11" ht="13.5">
      <c r="B173" s="63" t="s">
        <v>89</v>
      </c>
      <c r="C173" s="22">
        <f aca="true" t="shared" si="76" ref="C173:I173">C158+C161+C164+C167+C170</f>
        <v>2566400.7</v>
      </c>
      <c r="D173" s="22">
        <f t="shared" si="76"/>
        <v>2526510.7</v>
      </c>
      <c r="E173" s="22">
        <f t="shared" si="76"/>
        <v>39890</v>
      </c>
      <c r="F173" s="37">
        <f t="shared" si="76"/>
        <v>443923.0000000001</v>
      </c>
      <c r="G173" s="37">
        <f t="shared" si="76"/>
        <v>439757.8000000001</v>
      </c>
      <c r="H173" s="22">
        <f t="shared" si="76"/>
        <v>4165.2</v>
      </c>
      <c r="I173" s="22">
        <f t="shared" si="76"/>
        <v>0</v>
      </c>
      <c r="J173" s="23">
        <f>G173/D173*100</f>
        <v>17.405736694485405</v>
      </c>
      <c r="K173" s="23">
        <f>H173/E173*100</f>
        <v>10.441714715467535</v>
      </c>
    </row>
    <row r="174" spans="3:11" ht="13.5">
      <c r="C174" s="25">
        <f>C154-C173</f>
        <v>0</v>
      </c>
      <c r="D174" s="25">
        <f>D154-D173</f>
        <v>0</v>
      </c>
      <c r="E174" s="25">
        <f aca="true" t="shared" si="77" ref="E174:K174">E154-E173</f>
        <v>0</v>
      </c>
      <c r="F174" s="74"/>
      <c r="G174" s="25">
        <f t="shared" si="77"/>
        <v>0</v>
      </c>
      <c r="H174" s="25">
        <f t="shared" si="77"/>
        <v>0</v>
      </c>
      <c r="I174" s="25">
        <f t="shared" si="77"/>
        <v>2086752.8999999992</v>
      </c>
      <c r="J174" s="25">
        <f t="shared" si="77"/>
        <v>0</v>
      </c>
      <c r="K174" s="25">
        <f t="shared" si="77"/>
        <v>0</v>
      </c>
    </row>
    <row r="175" spans="2:11" ht="13.5">
      <c r="B175" s="62" t="s">
        <v>91</v>
      </c>
      <c r="C175" s="26">
        <f aca="true" t="shared" si="78" ref="C175:H175">C176+C177</f>
        <v>2548966.1999999993</v>
      </c>
      <c r="D175" s="26">
        <f t="shared" si="78"/>
        <v>2509076.1999999993</v>
      </c>
      <c r="E175" s="26">
        <f t="shared" si="78"/>
        <v>39890</v>
      </c>
      <c r="F175" s="36">
        <f t="shared" si="78"/>
        <v>442929.00000000006</v>
      </c>
      <c r="G175" s="36">
        <f t="shared" si="78"/>
        <v>438763.80000000005</v>
      </c>
      <c r="H175" s="26">
        <f t="shared" si="78"/>
        <v>4165.2</v>
      </c>
      <c r="I175" s="26"/>
      <c r="J175" s="26">
        <f aca="true" t="shared" si="79" ref="J175:K177">G175/D175*100</f>
        <v>17.487065558232157</v>
      </c>
      <c r="K175" s="26">
        <f t="shared" si="79"/>
        <v>10.441714715467535</v>
      </c>
    </row>
    <row r="176" spans="2:11" ht="13.5">
      <c r="B176" s="53" t="s">
        <v>92</v>
      </c>
      <c r="C176" s="73">
        <f>D176+E176</f>
        <v>2269306.3999999994</v>
      </c>
      <c r="D176" s="24">
        <f>D8+D12+D24+D35+D38+D41+D45+D48+D51+D56+D60</f>
        <v>2248659.8999999994</v>
      </c>
      <c r="E176" s="24">
        <f>E8+E12+E24+E35+E38+E41+E45+E48+E51+E56+E60</f>
        <v>20646.5</v>
      </c>
      <c r="F176" s="73">
        <f>G176+H176</f>
        <v>417136.30000000005</v>
      </c>
      <c r="G176" s="24">
        <f>G8+G12+G24+G35+G38+G41+G45+G48+G51+G56+G60</f>
        <v>413442.4</v>
      </c>
      <c r="H176" s="24">
        <f>H8+H12+H24+H35+H38+H41+H45+H48+H51+H56+H60</f>
        <v>3693.8999999999996</v>
      </c>
      <c r="I176" s="24"/>
      <c r="J176" s="24">
        <f t="shared" si="79"/>
        <v>18.386168579783902</v>
      </c>
      <c r="K176" s="24">
        <f t="shared" si="79"/>
        <v>17.891167994575348</v>
      </c>
    </row>
    <row r="177" spans="2:11" ht="13.5">
      <c r="B177" s="53" t="s">
        <v>93</v>
      </c>
      <c r="C177" s="73">
        <f>D177+E177</f>
        <v>279659.8</v>
      </c>
      <c r="D177" s="24">
        <f>D70+D72+D75+D77+D79+D85+D91+D93+D99+D101+D107+D109+D111+D119+D121+D123+D130+D138+D145+D147+D132+D113</f>
        <v>260416.3</v>
      </c>
      <c r="E177" s="24">
        <f>E70+E72+E75+E77+E79+E85+E91+E93+E99+E101+E107+E109+E111+E119+E121+E123+E130+E138+E145+E147+E132+E113</f>
        <v>19243.499999999996</v>
      </c>
      <c r="F177" s="73">
        <f>G177+H177</f>
        <v>25792.699999999997</v>
      </c>
      <c r="G177" s="24">
        <f>G70+G72+G75+G77+G79+G85+G91+G93+G99+G101+G107+G109+G111+G119+G121+G123+G130+G138+G145+G147+G132+G113</f>
        <v>25321.399999999998</v>
      </c>
      <c r="H177" s="24">
        <f>H70+H72+H75+H77+H79+H85+H91+H93+H99+H101+H107+H109+H111+H119+H121+H123+H130+H138+H145+H147+H132+H113</f>
        <v>471.30000000000007</v>
      </c>
      <c r="I177" s="24" t="e">
        <f>I72+I70+I85+I91+I99+I107+I119+I130+I145+I138+I77+#REF!+I75+#REF!+#REF!+#REF!+#REF!+#REF!+I109+I111</f>
        <v>#REF!</v>
      </c>
      <c r="J177" s="24">
        <f t="shared" si="79"/>
        <v>9.723431290591257</v>
      </c>
      <c r="K177" s="24">
        <f t="shared" si="79"/>
        <v>2.449138670200328</v>
      </c>
    </row>
    <row r="178" spans="2:11" ht="13.5">
      <c r="B178" s="62" t="s">
        <v>94</v>
      </c>
      <c r="C178" s="26">
        <f aca="true" t="shared" si="80" ref="C178:I178">C179+C180</f>
        <v>17434.5</v>
      </c>
      <c r="D178" s="26">
        <f t="shared" si="80"/>
        <v>17434.5</v>
      </c>
      <c r="E178" s="26">
        <f t="shared" si="80"/>
        <v>0</v>
      </c>
      <c r="F178" s="26">
        <f t="shared" si="80"/>
        <v>993.9999999999999</v>
      </c>
      <c r="G178" s="26">
        <f t="shared" si="80"/>
        <v>993.9999999999999</v>
      </c>
      <c r="H178" s="26">
        <f t="shared" si="80"/>
        <v>0</v>
      </c>
      <c r="I178" s="26" t="e">
        <f t="shared" si="80"/>
        <v>#REF!</v>
      </c>
      <c r="J178" s="26">
        <f>G178/D178*100</f>
        <v>5.701339298517307</v>
      </c>
      <c r="K178" s="21">
        <v>0</v>
      </c>
    </row>
    <row r="179" spans="2:11" ht="13.5">
      <c r="B179" s="53" t="s">
        <v>92</v>
      </c>
      <c r="C179" s="73">
        <f>D179+E179</f>
        <v>6591.3</v>
      </c>
      <c r="D179" s="24">
        <f>D62</f>
        <v>6591.3</v>
      </c>
      <c r="E179" s="24">
        <f>E62</f>
        <v>0</v>
      </c>
      <c r="F179" s="73">
        <f>G179+H179</f>
        <v>0</v>
      </c>
      <c r="G179" s="24">
        <f>G62</f>
        <v>0</v>
      </c>
      <c r="H179" s="24">
        <f>H62</f>
        <v>0</v>
      </c>
      <c r="I179" s="24">
        <f>I62</f>
        <v>71.3</v>
      </c>
      <c r="J179" s="24">
        <f>G179/D179*100</f>
        <v>0</v>
      </c>
      <c r="K179" s="20">
        <v>0</v>
      </c>
    </row>
    <row r="180" spans="2:11" ht="13.5">
      <c r="B180" s="53" t="s">
        <v>93</v>
      </c>
      <c r="C180" s="73">
        <f>D180+E180</f>
        <v>10843.199999999999</v>
      </c>
      <c r="D180" s="24">
        <f>D81+D87+D95+D103+D115+D125+D134+D140+D149</f>
        <v>10843.199999999999</v>
      </c>
      <c r="E180" s="24">
        <f>E81+E87+E95+E103+E115+E125+E134+E140+E149</f>
        <v>0</v>
      </c>
      <c r="F180" s="73">
        <f>G180+H180</f>
        <v>993.9999999999999</v>
      </c>
      <c r="G180" s="24">
        <f>G81+G87+G95+G103+G115+G125+G134+G140+G149</f>
        <v>993.9999999999999</v>
      </c>
      <c r="H180" s="24">
        <f>H81+H87+H95+H103+H115+H125+H134+H140+H149</f>
        <v>0</v>
      </c>
      <c r="I180" s="24" t="e">
        <f>I81+I87+I95+I103+I115+I125+I134+I140+I149</f>
        <v>#REF!</v>
      </c>
      <c r="J180" s="24">
        <f>G180/D180*100</f>
        <v>9.167035561457872</v>
      </c>
      <c r="K180" s="20">
        <v>0</v>
      </c>
    </row>
    <row r="181" spans="2:11" ht="13.5">
      <c r="B181" s="63" t="s">
        <v>89</v>
      </c>
      <c r="C181" s="27">
        <f aca="true" t="shared" si="81" ref="C181:H181">C175+C178</f>
        <v>2566400.6999999993</v>
      </c>
      <c r="D181" s="27">
        <f t="shared" si="81"/>
        <v>2526510.6999999993</v>
      </c>
      <c r="E181" s="27">
        <f t="shared" si="81"/>
        <v>39890</v>
      </c>
      <c r="F181" s="37">
        <f t="shared" si="81"/>
        <v>443923.00000000006</v>
      </c>
      <c r="G181" s="37">
        <f t="shared" si="81"/>
        <v>439757.80000000005</v>
      </c>
      <c r="H181" s="27">
        <f t="shared" si="81"/>
        <v>4165.2</v>
      </c>
      <c r="I181" s="27"/>
      <c r="J181" s="27">
        <f>G181/D181*100</f>
        <v>17.40573669448541</v>
      </c>
      <c r="K181" s="27">
        <f>H181/E181*100</f>
        <v>10.441714715467535</v>
      </c>
    </row>
    <row r="182" ht="13.5">
      <c r="G182" s="38"/>
    </row>
    <row r="183" spans="4:11" ht="13.5">
      <c r="D183" s="69"/>
      <c r="E183" s="69"/>
      <c r="F183" s="69"/>
      <c r="G183" s="69"/>
      <c r="H183" s="69"/>
      <c r="I183" s="69"/>
      <c r="J183" s="69"/>
      <c r="K183" s="69">
        <f>K173-K181</f>
        <v>0</v>
      </c>
    </row>
  </sheetData>
  <sheetProtection/>
  <autoFilter ref="A7:N154"/>
  <mergeCells count="14">
    <mergeCell ref="C4:H4"/>
    <mergeCell ref="F5:H5"/>
    <mergeCell ref="C156:E156"/>
    <mergeCell ref="F156:H156"/>
    <mergeCell ref="I4:I5"/>
    <mergeCell ref="L4:L6"/>
    <mergeCell ref="A1:K1"/>
    <mergeCell ref="J156:K156"/>
    <mergeCell ref="B156:B157"/>
    <mergeCell ref="A2:K2"/>
    <mergeCell ref="J4:K5"/>
    <mergeCell ref="A4:A6"/>
    <mergeCell ref="B4:B6"/>
    <mergeCell ref="C5:E5"/>
  </mergeCells>
  <printOptions/>
  <pageMargins left="0" right="0" top="0.5905511811023623" bottom="0" header="0.31496062992125984" footer="0.31496062992125984"/>
  <pageSetup fitToHeight="16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9"/>
  <sheetViews>
    <sheetView view="pageBreakPreview" zoomScaleSheetLayoutView="100" zoomScalePageLayoutView="0" workbookViewId="0" topLeftCell="A1">
      <selection activeCell="B3" sqref="B3:B5"/>
    </sheetView>
  </sheetViews>
  <sheetFormatPr defaultColWidth="9.140625" defaultRowHeight="15"/>
  <cols>
    <col min="1" max="1" width="5.7109375" style="30" customWidth="1"/>
    <col min="2" max="2" width="76.57421875" style="30" customWidth="1"/>
    <col min="3" max="3" width="16.28125" style="93" customWidth="1"/>
    <col min="4" max="4" width="16.28125" style="30" customWidth="1"/>
    <col min="5" max="5" width="16.421875" style="31" customWidth="1"/>
    <col min="6" max="6" width="16.421875" style="114" customWidth="1"/>
    <col min="7" max="7" width="15.7109375" style="31" customWidth="1"/>
    <col min="8" max="8" width="16.140625" style="31" customWidth="1"/>
    <col min="9" max="9" width="16.00390625" style="31" customWidth="1"/>
    <col min="10" max="10" width="10.421875" style="31" customWidth="1"/>
    <col min="11" max="11" width="36.28125" style="30" customWidth="1"/>
    <col min="12" max="16384" width="8.8515625" style="30" customWidth="1"/>
  </cols>
  <sheetData>
    <row r="1" spans="1:11" ht="21.75" customHeight="1">
      <c r="A1" s="130" t="s">
        <v>100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9.5" customHeight="1">
      <c r="A2" s="130" t="s">
        <v>169</v>
      </c>
      <c r="B2" s="130"/>
      <c r="C2" s="130"/>
      <c r="D2" s="130"/>
      <c r="E2" s="130"/>
      <c r="F2" s="130"/>
      <c r="G2" s="130"/>
      <c r="H2" s="130"/>
      <c r="I2" s="130"/>
      <c r="J2" s="130"/>
      <c r="K2" s="90" t="s">
        <v>126</v>
      </c>
    </row>
    <row r="3" spans="1:11" ht="18" customHeight="1">
      <c r="A3" s="134" t="s">
        <v>0</v>
      </c>
      <c r="B3" s="134" t="s">
        <v>14</v>
      </c>
      <c r="C3" s="124" t="s">
        <v>162</v>
      </c>
      <c r="D3" s="125"/>
      <c r="E3" s="125"/>
      <c r="F3" s="125"/>
      <c r="G3" s="125"/>
      <c r="H3" s="126"/>
      <c r="I3" s="127" t="s">
        <v>67</v>
      </c>
      <c r="J3" s="129"/>
      <c r="K3" s="131" t="s">
        <v>128</v>
      </c>
    </row>
    <row r="4" spans="1:11" ht="15">
      <c r="A4" s="134"/>
      <c r="B4" s="134"/>
      <c r="C4" s="124" t="s">
        <v>38</v>
      </c>
      <c r="D4" s="125"/>
      <c r="E4" s="126"/>
      <c r="F4" s="124" t="s">
        <v>39</v>
      </c>
      <c r="G4" s="125"/>
      <c r="H4" s="126"/>
      <c r="I4" s="135"/>
      <c r="J4" s="136"/>
      <c r="K4" s="132"/>
    </row>
    <row r="5" spans="1:11" ht="33" customHeight="1">
      <c r="A5" s="134"/>
      <c r="B5" s="134"/>
      <c r="C5" s="108" t="s">
        <v>147</v>
      </c>
      <c r="D5" s="76" t="s">
        <v>44</v>
      </c>
      <c r="E5" s="76" t="s">
        <v>45</v>
      </c>
      <c r="F5" s="108" t="s">
        <v>147</v>
      </c>
      <c r="G5" s="76" t="s">
        <v>44</v>
      </c>
      <c r="H5" s="76" t="s">
        <v>45</v>
      </c>
      <c r="I5" s="76" t="s">
        <v>44</v>
      </c>
      <c r="J5" s="76" t="s">
        <v>45</v>
      </c>
      <c r="K5" s="133"/>
    </row>
    <row r="6" spans="1:11" ht="15">
      <c r="A6" s="77" t="s">
        <v>1</v>
      </c>
      <c r="B6" s="78" t="s">
        <v>21</v>
      </c>
      <c r="C6" s="9">
        <f aca="true" t="shared" si="0" ref="C6:H6">C7+C19+C17+C22+C11+C14</f>
        <v>566826.1</v>
      </c>
      <c r="D6" s="9">
        <f t="shared" si="0"/>
        <v>546179.6000000001</v>
      </c>
      <c r="E6" s="9">
        <f t="shared" si="0"/>
        <v>20646.5</v>
      </c>
      <c r="F6" s="9">
        <f t="shared" si="0"/>
        <v>48983</v>
      </c>
      <c r="G6" s="9">
        <f t="shared" si="0"/>
        <v>45289.1</v>
      </c>
      <c r="H6" s="9">
        <f t="shared" si="0"/>
        <v>3693.9</v>
      </c>
      <c r="I6" s="9">
        <f aca="true" t="shared" si="1" ref="I6:J21">SUM(G6/D6*100)</f>
        <v>8.291979414829846</v>
      </c>
      <c r="J6" s="9">
        <f t="shared" si="1"/>
        <v>17.89116799457535</v>
      </c>
      <c r="K6" s="91"/>
    </row>
    <row r="7" spans="1:11" ht="30.75">
      <c r="A7" s="64" t="s">
        <v>15</v>
      </c>
      <c r="B7" s="65" t="s">
        <v>3</v>
      </c>
      <c r="C7" s="40">
        <f aca="true" t="shared" si="2" ref="C7:H7">C9+C8+C10</f>
        <v>63436.3</v>
      </c>
      <c r="D7" s="40">
        <f t="shared" si="2"/>
        <v>60429.9</v>
      </c>
      <c r="E7" s="40">
        <f t="shared" si="2"/>
        <v>3006.3999999999996</v>
      </c>
      <c r="F7" s="40">
        <f t="shared" si="2"/>
        <v>29428.7</v>
      </c>
      <c r="G7" s="40">
        <f t="shared" si="2"/>
        <v>27542.4</v>
      </c>
      <c r="H7" s="40">
        <f t="shared" si="2"/>
        <v>1886.3</v>
      </c>
      <c r="I7" s="40">
        <f t="shared" si="1"/>
        <v>45.577437659172034</v>
      </c>
      <c r="J7" s="40">
        <f t="shared" si="1"/>
        <v>62.74281532730176</v>
      </c>
      <c r="K7" s="91"/>
    </row>
    <row r="8" spans="1:11" ht="46.5">
      <c r="A8" s="66"/>
      <c r="B8" s="67" t="s">
        <v>118</v>
      </c>
      <c r="C8" s="109">
        <f>D8+E8</f>
        <v>3939.8</v>
      </c>
      <c r="D8" s="79">
        <f>'все краевые '!D13</f>
        <v>2718.4</v>
      </c>
      <c r="E8" s="79">
        <f>'все краевые '!E13</f>
        <v>1221.4</v>
      </c>
      <c r="F8" s="109">
        <f>G8+H8</f>
        <v>3573.2999999999997</v>
      </c>
      <c r="G8" s="79">
        <f>'все краевые '!G13</f>
        <v>2462.7</v>
      </c>
      <c r="H8" s="79">
        <f>'все краевые '!H13</f>
        <v>1110.6</v>
      </c>
      <c r="I8" s="79">
        <f t="shared" si="1"/>
        <v>90.59373160682753</v>
      </c>
      <c r="J8" s="79">
        <f t="shared" si="1"/>
        <v>90.92844277059112</v>
      </c>
      <c r="K8" s="91"/>
    </row>
    <row r="9" spans="1:11" ht="47.25" customHeight="1">
      <c r="A9" s="66"/>
      <c r="B9" s="80" t="s">
        <v>105</v>
      </c>
      <c r="C9" s="109">
        <f>D9+E9</f>
        <v>57457.3</v>
      </c>
      <c r="D9" s="11">
        <f>'все краевые '!D14</f>
        <v>55733.5</v>
      </c>
      <c r="E9" s="11">
        <f>'все краевые '!E14</f>
        <v>1723.8</v>
      </c>
      <c r="F9" s="109">
        <f>G9+H9</f>
        <v>25855.4</v>
      </c>
      <c r="G9" s="11">
        <f>'все краевые '!G14</f>
        <v>25079.7</v>
      </c>
      <c r="H9" s="11">
        <f>'все краевые '!H14</f>
        <v>775.7</v>
      </c>
      <c r="I9" s="79">
        <f t="shared" si="1"/>
        <v>44.999327155122145</v>
      </c>
      <c r="J9" s="79">
        <f t="shared" si="1"/>
        <v>44.99941988629772</v>
      </c>
      <c r="K9" s="91"/>
    </row>
    <row r="10" spans="1:11" ht="57.75" customHeight="1">
      <c r="A10" s="66"/>
      <c r="B10" s="80" t="s">
        <v>134</v>
      </c>
      <c r="C10" s="109">
        <f>D10+E10</f>
        <v>2039.2</v>
      </c>
      <c r="D10" s="11">
        <f>'все краевые '!D15</f>
        <v>1978</v>
      </c>
      <c r="E10" s="11">
        <f>'все краевые '!E15</f>
        <v>61.2</v>
      </c>
      <c r="F10" s="109">
        <f>G10+H10</f>
        <v>0</v>
      </c>
      <c r="G10" s="11"/>
      <c r="H10" s="11"/>
      <c r="I10" s="79">
        <f>SUM(G10/D10*100)</f>
        <v>0</v>
      </c>
      <c r="J10" s="79">
        <f>SUM(H10/E10*100)</f>
        <v>0</v>
      </c>
      <c r="K10" s="91"/>
    </row>
    <row r="11" spans="1:11" ht="47.25" customHeight="1">
      <c r="A11" s="64" t="s">
        <v>16</v>
      </c>
      <c r="B11" s="65" t="s">
        <v>121</v>
      </c>
      <c r="C11" s="40">
        <f aca="true" t="shared" si="3" ref="C11:H11">C12+C13</f>
        <v>10662.4</v>
      </c>
      <c r="D11" s="40">
        <f t="shared" si="3"/>
        <v>10342.5</v>
      </c>
      <c r="E11" s="40">
        <f t="shared" si="3"/>
        <v>319.9</v>
      </c>
      <c r="F11" s="40">
        <f t="shared" si="3"/>
        <v>0</v>
      </c>
      <c r="G11" s="40">
        <f t="shared" si="3"/>
        <v>0</v>
      </c>
      <c r="H11" s="40">
        <f t="shared" si="3"/>
        <v>0</v>
      </c>
      <c r="I11" s="40">
        <f t="shared" si="1"/>
        <v>0</v>
      </c>
      <c r="J11" s="40">
        <f t="shared" si="1"/>
        <v>0</v>
      </c>
      <c r="K11" s="91"/>
    </row>
    <row r="12" spans="1:11" ht="32.25" customHeight="1">
      <c r="A12" s="48"/>
      <c r="B12" s="80" t="s">
        <v>122</v>
      </c>
      <c r="C12" s="109">
        <f>D12+E12</f>
        <v>4122</v>
      </c>
      <c r="D12" s="11">
        <f>'все краевые '!D39</f>
        <v>3998.3</v>
      </c>
      <c r="E12" s="11">
        <f>'все краевые '!E39</f>
        <v>123.7</v>
      </c>
      <c r="F12" s="71">
        <f>G12+H12</f>
        <v>0</v>
      </c>
      <c r="G12" s="81"/>
      <c r="H12" s="81"/>
      <c r="I12" s="79">
        <f t="shared" si="1"/>
        <v>0</v>
      </c>
      <c r="J12" s="79">
        <f t="shared" si="1"/>
        <v>0</v>
      </c>
      <c r="K12" s="91"/>
    </row>
    <row r="13" spans="1:11" ht="32.25" customHeight="1">
      <c r="A13" s="48"/>
      <c r="B13" s="80" t="s">
        <v>140</v>
      </c>
      <c r="C13" s="109">
        <f>D13+E13</f>
        <v>6540.4</v>
      </c>
      <c r="D13" s="11">
        <f>'все краевые '!D40</f>
        <v>6344.2</v>
      </c>
      <c r="E13" s="11">
        <f>'все краевые '!E40</f>
        <v>196.2</v>
      </c>
      <c r="F13" s="71">
        <f>G13+H13</f>
        <v>0</v>
      </c>
      <c r="G13" s="81"/>
      <c r="H13" s="81"/>
      <c r="I13" s="79">
        <f>SUM(G13/D13*100)</f>
        <v>0</v>
      </c>
      <c r="J13" s="79">
        <f>SUM(H13/E13*100)</f>
        <v>0</v>
      </c>
      <c r="K13" s="91"/>
    </row>
    <row r="14" spans="1:11" ht="20.25" customHeight="1">
      <c r="A14" s="64" t="s">
        <v>17</v>
      </c>
      <c r="B14" s="65" t="s">
        <v>13</v>
      </c>
      <c r="C14" s="40">
        <f aca="true" t="shared" si="4" ref="C14:H14">C15+C16</f>
        <v>4765.9</v>
      </c>
      <c r="D14" s="40">
        <f t="shared" si="4"/>
        <v>4289.3</v>
      </c>
      <c r="E14" s="40">
        <f t="shared" si="4"/>
        <v>476.6</v>
      </c>
      <c r="F14" s="40">
        <f t="shared" si="4"/>
        <v>1533.9</v>
      </c>
      <c r="G14" s="40">
        <f t="shared" si="4"/>
        <v>1380.5</v>
      </c>
      <c r="H14" s="40">
        <f t="shared" si="4"/>
        <v>153.4</v>
      </c>
      <c r="I14" s="40">
        <f t="shared" si="1"/>
        <v>32.18473876856363</v>
      </c>
      <c r="J14" s="40">
        <f t="shared" si="1"/>
        <v>32.1863197650021</v>
      </c>
      <c r="K14" s="91"/>
    </row>
    <row r="15" spans="1:11" ht="18.75" customHeight="1">
      <c r="A15" s="48"/>
      <c r="B15" s="43" t="s">
        <v>124</v>
      </c>
      <c r="C15" s="110">
        <f>D15+E15</f>
        <v>375.90000000000003</v>
      </c>
      <c r="D15" s="81">
        <f>'все краевые '!D42</f>
        <v>338.3</v>
      </c>
      <c r="E15" s="81">
        <f>'все краевые '!E42</f>
        <v>37.6</v>
      </c>
      <c r="F15" s="112">
        <f>G15+H15</f>
        <v>375.90000000000003</v>
      </c>
      <c r="G15" s="81">
        <f>'все краевые '!G42</f>
        <v>338.3</v>
      </c>
      <c r="H15" s="81">
        <f>'все краевые '!H42</f>
        <v>37.6</v>
      </c>
      <c r="I15" s="79">
        <f t="shared" si="1"/>
        <v>100</v>
      </c>
      <c r="J15" s="79">
        <f t="shared" si="1"/>
        <v>100</v>
      </c>
      <c r="K15" s="91"/>
    </row>
    <row r="16" spans="1:11" ht="78">
      <c r="A16" s="48"/>
      <c r="B16" s="4" t="s">
        <v>159</v>
      </c>
      <c r="C16" s="110">
        <f>D16+E16</f>
        <v>4390</v>
      </c>
      <c r="D16" s="81">
        <f>'все краевые '!D43</f>
        <v>3951</v>
      </c>
      <c r="E16" s="81">
        <f>'все краевые '!E43</f>
        <v>439</v>
      </c>
      <c r="F16" s="112">
        <f>G16+H16</f>
        <v>1158</v>
      </c>
      <c r="G16" s="81">
        <f>'все краевые '!G43</f>
        <v>1042.2</v>
      </c>
      <c r="H16" s="81">
        <f>'все краевые '!H43</f>
        <v>115.8</v>
      </c>
      <c r="I16" s="79">
        <f t="shared" si="1"/>
        <v>26.378132118451024</v>
      </c>
      <c r="J16" s="79">
        <f t="shared" si="1"/>
        <v>26.378132118451024</v>
      </c>
      <c r="K16" s="91"/>
    </row>
    <row r="17" spans="1:11" ht="30.75">
      <c r="A17" s="64" t="s">
        <v>18</v>
      </c>
      <c r="B17" s="65" t="s">
        <v>34</v>
      </c>
      <c r="C17" s="40">
        <f aca="true" t="shared" si="5" ref="C17:H17">SUM(C18:C18)</f>
        <v>2301.9</v>
      </c>
      <c r="D17" s="40">
        <f t="shared" si="5"/>
        <v>2104.5</v>
      </c>
      <c r="E17" s="40">
        <f t="shared" si="5"/>
        <v>197.4</v>
      </c>
      <c r="F17" s="40">
        <f t="shared" si="5"/>
        <v>389.8</v>
      </c>
      <c r="G17" s="40">
        <f t="shared" si="5"/>
        <v>350.8</v>
      </c>
      <c r="H17" s="40">
        <f t="shared" si="5"/>
        <v>39</v>
      </c>
      <c r="I17" s="40">
        <f t="shared" si="1"/>
        <v>16.66904252791637</v>
      </c>
      <c r="J17" s="40">
        <f t="shared" si="1"/>
        <v>19.756838905775076</v>
      </c>
      <c r="K17" s="91"/>
    </row>
    <row r="18" spans="1:11" ht="15">
      <c r="A18" s="66"/>
      <c r="B18" s="67" t="s">
        <v>96</v>
      </c>
      <c r="C18" s="109">
        <f>D18+E18</f>
        <v>2301.9</v>
      </c>
      <c r="D18" s="11">
        <f>'все краевые '!D47</f>
        <v>2104.5</v>
      </c>
      <c r="E18" s="11">
        <f>'все краевые '!E47</f>
        <v>197.4</v>
      </c>
      <c r="F18" s="71">
        <f>G18+H18</f>
        <v>389.8</v>
      </c>
      <c r="G18" s="11">
        <f>'все краевые '!G47</f>
        <v>350.8</v>
      </c>
      <c r="H18" s="11">
        <f>'все краевые '!H47</f>
        <v>39</v>
      </c>
      <c r="I18" s="79">
        <f t="shared" si="1"/>
        <v>16.66904252791637</v>
      </c>
      <c r="J18" s="79">
        <f t="shared" si="1"/>
        <v>19.756838905775076</v>
      </c>
      <c r="K18" s="91"/>
    </row>
    <row r="19" spans="1:11" ht="30.75">
      <c r="A19" s="64" t="s">
        <v>19</v>
      </c>
      <c r="B19" s="65" t="s">
        <v>46</v>
      </c>
      <c r="C19" s="40">
        <f aca="true" t="shared" si="6" ref="C19:H19">C21+C20</f>
        <v>160684.90000000002</v>
      </c>
      <c r="D19" s="40">
        <f t="shared" si="6"/>
        <v>154778</v>
      </c>
      <c r="E19" s="40">
        <f t="shared" si="6"/>
        <v>5906.9</v>
      </c>
      <c r="F19" s="40">
        <f t="shared" si="6"/>
        <v>3879.5</v>
      </c>
      <c r="G19" s="40">
        <f t="shared" si="6"/>
        <v>2676.8</v>
      </c>
      <c r="H19" s="40">
        <f t="shared" si="6"/>
        <v>1202.7</v>
      </c>
      <c r="I19" s="40">
        <f t="shared" si="1"/>
        <v>1.72944475313029</v>
      </c>
      <c r="J19" s="40">
        <f t="shared" si="1"/>
        <v>20.36093382315597</v>
      </c>
      <c r="K19" s="91"/>
    </row>
    <row r="20" spans="1:11" ht="15">
      <c r="A20" s="82"/>
      <c r="B20" s="67" t="s">
        <v>111</v>
      </c>
      <c r="C20" s="109">
        <f>D20+E20</f>
        <v>156805.2</v>
      </c>
      <c r="D20" s="79">
        <f>'все краевые '!D53</f>
        <v>152101</v>
      </c>
      <c r="E20" s="79">
        <f>'все краевые '!E53</f>
        <v>4704.2</v>
      </c>
      <c r="F20" s="109">
        <f>G20+H20</f>
        <v>0</v>
      </c>
      <c r="G20" s="79"/>
      <c r="H20" s="79"/>
      <c r="I20" s="79">
        <f>SUM(G20/D20*100)</f>
        <v>0</v>
      </c>
      <c r="J20" s="79">
        <f>SUM(H20/E20*100)</f>
        <v>0</v>
      </c>
      <c r="K20" s="91"/>
    </row>
    <row r="21" spans="1:11" ht="46.5">
      <c r="A21" s="48"/>
      <c r="B21" s="43" t="s">
        <v>59</v>
      </c>
      <c r="C21" s="109">
        <f>D21+E21</f>
        <v>3879.7</v>
      </c>
      <c r="D21" s="81">
        <f>'все краевые '!D50</f>
        <v>2677</v>
      </c>
      <c r="E21" s="81">
        <f>'все краевые '!E50</f>
        <v>1202.7</v>
      </c>
      <c r="F21" s="109">
        <f>G21+H21</f>
        <v>3879.5</v>
      </c>
      <c r="G21" s="81">
        <f>'все краевые '!G50</f>
        <v>2676.8</v>
      </c>
      <c r="H21" s="81">
        <f>'все краевые '!H50</f>
        <v>1202.7</v>
      </c>
      <c r="I21" s="79">
        <f t="shared" si="1"/>
        <v>99.99252895031752</v>
      </c>
      <c r="J21" s="79">
        <f t="shared" si="1"/>
        <v>100</v>
      </c>
      <c r="K21" s="91"/>
    </row>
    <row r="22" spans="1:11" ht="30.75">
      <c r="A22" s="64" t="s">
        <v>20</v>
      </c>
      <c r="B22" s="65" t="s">
        <v>116</v>
      </c>
      <c r="C22" s="40">
        <f aca="true" t="shared" si="7" ref="C22:H22">C23+C24+C25</f>
        <v>324974.69999999995</v>
      </c>
      <c r="D22" s="40">
        <f t="shared" si="7"/>
        <v>314235.4</v>
      </c>
      <c r="E22" s="40">
        <f t="shared" si="7"/>
        <v>10739.300000000001</v>
      </c>
      <c r="F22" s="40">
        <f t="shared" si="7"/>
        <v>13751.1</v>
      </c>
      <c r="G22" s="40">
        <f t="shared" si="7"/>
        <v>13338.6</v>
      </c>
      <c r="H22" s="40">
        <f t="shared" si="7"/>
        <v>412.5</v>
      </c>
      <c r="I22" s="40">
        <v>0</v>
      </c>
      <c r="J22" s="40">
        <f aca="true" t="shared" si="8" ref="J22:J28">SUM(H22/E22*100)</f>
        <v>3.841032469527809</v>
      </c>
      <c r="K22" s="91"/>
    </row>
    <row r="23" spans="1:11" ht="19.5" customHeight="1">
      <c r="A23" s="66"/>
      <c r="B23" s="83" t="s">
        <v>132</v>
      </c>
      <c r="C23" s="111">
        <f>D23+E23</f>
        <v>284802.5</v>
      </c>
      <c r="D23" s="79">
        <f>'все краевые '!D52</f>
        <v>276258.4</v>
      </c>
      <c r="E23" s="79">
        <f>'все краевые '!E52</f>
        <v>8544.1</v>
      </c>
      <c r="F23" s="109">
        <f>G23+H23</f>
        <v>13751.1</v>
      </c>
      <c r="G23" s="79">
        <f>'все краевые '!G52</f>
        <v>13338.6</v>
      </c>
      <c r="H23" s="79">
        <f>'все краевые '!H52</f>
        <v>412.5</v>
      </c>
      <c r="I23" s="79">
        <f>G23/D23*100</f>
        <v>4.828305673239257</v>
      </c>
      <c r="J23" s="79">
        <f t="shared" si="8"/>
        <v>4.8278929319647474</v>
      </c>
      <c r="K23" s="91"/>
    </row>
    <row r="24" spans="1:11" ht="30.75" customHeight="1">
      <c r="A24" s="66"/>
      <c r="B24" s="83" t="s">
        <v>112</v>
      </c>
      <c r="C24" s="111">
        <f>D24+E24</f>
        <v>23172.600000000002</v>
      </c>
      <c r="D24" s="79">
        <f>'все краевые '!D54</f>
        <v>22477.4</v>
      </c>
      <c r="E24" s="79">
        <f>'все краевые '!E54</f>
        <v>695.2</v>
      </c>
      <c r="F24" s="109">
        <f>G24+H24</f>
        <v>0</v>
      </c>
      <c r="G24" s="79"/>
      <c r="H24" s="79"/>
      <c r="I24" s="79">
        <f>G24/D24*100</f>
        <v>0</v>
      </c>
      <c r="J24" s="79">
        <f t="shared" si="8"/>
        <v>0</v>
      </c>
      <c r="K24" s="91"/>
    </row>
    <row r="25" spans="1:11" ht="30.75" customHeight="1">
      <c r="A25" s="66"/>
      <c r="B25" s="83" t="s">
        <v>145</v>
      </c>
      <c r="C25" s="111">
        <f>D25+E25</f>
        <v>16999.6</v>
      </c>
      <c r="D25" s="79">
        <f>'все краевые '!D55</f>
        <v>15499.6</v>
      </c>
      <c r="E25" s="79">
        <f>'все краевые '!E55</f>
        <v>1500</v>
      </c>
      <c r="F25" s="109">
        <f>G25+H25</f>
        <v>0</v>
      </c>
      <c r="G25" s="79"/>
      <c r="H25" s="79"/>
      <c r="I25" s="79">
        <f>G25/D25*100</f>
        <v>0</v>
      </c>
      <c r="J25" s="79">
        <f t="shared" si="8"/>
        <v>0</v>
      </c>
      <c r="K25" s="91"/>
    </row>
    <row r="26" spans="1:11" ht="15">
      <c r="A26" s="49" t="s">
        <v>2</v>
      </c>
      <c r="B26" s="84" t="s">
        <v>22</v>
      </c>
      <c r="C26" s="35">
        <f>C27+C32+C30+C34</f>
        <v>106066.3</v>
      </c>
      <c r="D26" s="35">
        <f aca="true" t="shared" si="9" ref="D26:I26">D27+D32+D30+D34</f>
        <v>92471.5</v>
      </c>
      <c r="E26" s="35">
        <f t="shared" si="9"/>
        <v>13594.799999999997</v>
      </c>
      <c r="F26" s="35">
        <f t="shared" si="9"/>
        <v>629.1999999999999</v>
      </c>
      <c r="G26" s="35">
        <f t="shared" si="9"/>
        <v>566.3</v>
      </c>
      <c r="H26" s="35">
        <f t="shared" si="9"/>
        <v>62.9</v>
      </c>
      <c r="I26" s="35">
        <f t="shared" si="9"/>
        <v>100</v>
      </c>
      <c r="J26" s="35">
        <f t="shared" si="8"/>
        <v>0.4626769058757761</v>
      </c>
      <c r="K26" s="91"/>
    </row>
    <row r="27" spans="1:11" ht="30.75">
      <c r="A27" s="51" t="s">
        <v>23</v>
      </c>
      <c r="B27" s="65" t="s">
        <v>41</v>
      </c>
      <c r="C27" s="40">
        <f aca="true" t="shared" si="10" ref="C27:H27">C28</f>
        <v>12634.099999999999</v>
      </c>
      <c r="D27" s="40">
        <f t="shared" si="10"/>
        <v>8107.4</v>
      </c>
      <c r="E27" s="40">
        <f t="shared" si="10"/>
        <v>4526.7</v>
      </c>
      <c r="F27" s="40">
        <f t="shared" si="10"/>
        <v>0</v>
      </c>
      <c r="G27" s="40">
        <f t="shared" si="10"/>
        <v>0</v>
      </c>
      <c r="H27" s="40">
        <f t="shared" si="10"/>
        <v>0</v>
      </c>
      <c r="I27" s="40">
        <f aca="true" t="shared" si="11" ref="I27:J33">SUM(G27/D27*100)</f>
        <v>0</v>
      </c>
      <c r="J27" s="40">
        <f t="shared" si="8"/>
        <v>0</v>
      </c>
      <c r="K27" s="91"/>
    </row>
    <row r="28" spans="1:11" ht="15">
      <c r="A28" s="48"/>
      <c r="B28" s="67" t="s">
        <v>97</v>
      </c>
      <c r="C28" s="109">
        <f>D28+E28</f>
        <v>12634.099999999999</v>
      </c>
      <c r="D28" s="79">
        <f>'все краевые '!D73</f>
        <v>8107.4</v>
      </c>
      <c r="E28" s="79">
        <f>'все краевые '!E73</f>
        <v>4526.7</v>
      </c>
      <c r="F28" s="109">
        <f>G28+H28</f>
        <v>0</v>
      </c>
      <c r="G28" s="79"/>
      <c r="H28" s="79"/>
      <c r="I28" s="79">
        <f t="shared" si="11"/>
        <v>0</v>
      </c>
      <c r="J28" s="79">
        <f t="shared" si="8"/>
        <v>0</v>
      </c>
      <c r="K28" s="91"/>
    </row>
    <row r="29" spans="1:11" ht="15">
      <c r="A29" s="48"/>
      <c r="B29" s="2" t="s">
        <v>155</v>
      </c>
      <c r="C29" s="109">
        <f>D29+E29</f>
        <v>20921</v>
      </c>
      <c r="D29" s="79">
        <f>'все краевые '!D74</f>
        <v>20293</v>
      </c>
      <c r="E29" s="79">
        <f>'все краевые '!E74</f>
        <v>628</v>
      </c>
      <c r="F29" s="109"/>
      <c r="G29" s="79"/>
      <c r="H29" s="79"/>
      <c r="I29" s="79">
        <f>SUM(G29/D29*100)</f>
        <v>0</v>
      </c>
      <c r="J29" s="79">
        <f>SUM(H29/E29*100)</f>
        <v>0</v>
      </c>
      <c r="K29" s="91"/>
    </row>
    <row r="30" spans="1:11" s="93" customFormat="1" ht="30.75">
      <c r="A30" s="51" t="s">
        <v>68</v>
      </c>
      <c r="B30" s="65" t="s">
        <v>137</v>
      </c>
      <c r="C30" s="40">
        <f aca="true" t="shared" si="12" ref="C30:H30">C31</f>
        <v>88872.3</v>
      </c>
      <c r="D30" s="40">
        <f t="shared" si="12"/>
        <v>79985</v>
      </c>
      <c r="E30" s="40">
        <f t="shared" si="12"/>
        <v>8887.3</v>
      </c>
      <c r="F30" s="40">
        <f t="shared" si="12"/>
        <v>0</v>
      </c>
      <c r="G30" s="40">
        <f t="shared" si="12"/>
        <v>0</v>
      </c>
      <c r="H30" s="40">
        <f t="shared" si="12"/>
        <v>0</v>
      </c>
      <c r="I30" s="40">
        <f t="shared" si="11"/>
        <v>0</v>
      </c>
      <c r="J30" s="40">
        <f t="shared" si="11"/>
        <v>0</v>
      </c>
      <c r="K30" s="92"/>
    </row>
    <row r="31" spans="1:11" ht="15">
      <c r="A31" s="48"/>
      <c r="B31" s="67" t="s">
        <v>138</v>
      </c>
      <c r="C31" s="109">
        <f>D31+E31</f>
        <v>88872.3</v>
      </c>
      <c r="D31" s="79">
        <f>'все краевые '!D76</f>
        <v>79985</v>
      </c>
      <c r="E31" s="79">
        <f>'все краевые '!E76</f>
        <v>8887.3</v>
      </c>
      <c r="F31" s="109">
        <f>G31+H31</f>
        <v>0</v>
      </c>
      <c r="G31" s="79"/>
      <c r="H31" s="79"/>
      <c r="I31" s="79">
        <f t="shared" si="11"/>
        <v>0</v>
      </c>
      <c r="J31" s="79">
        <f t="shared" si="11"/>
        <v>0</v>
      </c>
      <c r="K31" s="91"/>
    </row>
    <row r="32" spans="1:11" ht="46.5">
      <c r="A32" s="51" t="s">
        <v>74</v>
      </c>
      <c r="B32" s="65" t="s">
        <v>121</v>
      </c>
      <c r="C32" s="40">
        <f aca="true" t="shared" si="13" ref="C32:H32">C33</f>
        <v>3930.7000000000003</v>
      </c>
      <c r="D32" s="40">
        <f t="shared" si="13"/>
        <v>3812.8</v>
      </c>
      <c r="E32" s="40">
        <f t="shared" si="13"/>
        <v>117.9</v>
      </c>
      <c r="F32" s="40">
        <f t="shared" si="13"/>
        <v>0</v>
      </c>
      <c r="G32" s="40">
        <f t="shared" si="13"/>
        <v>0</v>
      </c>
      <c r="H32" s="40">
        <f t="shared" si="13"/>
        <v>0</v>
      </c>
      <c r="I32" s="40">
        <f t="shared" si="11"/>
        <v>0</v>
      </c>
      <c r="J32" s="40">
        <f>SUM(H32/E32*100)</f>
        <v>0</v>
      </c>
      <c r="K32" s="91"/>
    </row>
    <row r="33" spans="1:11" ht="30.75">
      <c r="A33" s="94"/>
      <c r="B33" s="68" t="s">
        <v>122</v>
      </c>
      <c r="C33" s="111">
        <f>D33+E33</f>
        <v>3930.7000000000003</v>
      </c>
      <c r="D33" s="79">
        <f>'все краевые '!D78</f>
        <v>3812.8</v>
      </c>
      <c r="E33" s="79">
        <f>'все краевые '!E78</f>
        <v>117.9</v>
      </c>
      <c r="F33" s="109">
        <f>G33+H33</f>
        <v>0</v>
      </c>
      <c r="G33" s="79"/>
      <c r="H33" s="79"/>
      <c r="I33" s="79">
        <f t="shared" si="11"/>
        <v>0</v>
      </c>
      <c r="J33" s="79">
        <f>SUM(H33/E33*100)</f>
        <v>0</v>
      </c>
      <c r="K33" s="91"/>
    </row>
    <row r="34" spans="1:13" s="28" customFormat="1" ht="15">
      <c r="A34" s="33" t="s">
        <v>139</v>
      </c>
      <c r="B34" s="39" t="s">
        <v>13</v>
      </c>
      <c r="C34" s="40">
        <f aca="true" t="shared" si="14" ref="C34:J34">C35</f>
        <v>629.1999999999999</v>
      </c>
      <c r="D34" s="40">
        <f t="shared" si="14"/>
        <v>566.3</v>
      </c>
      <c r="E34" s="40">
        <f t="shared" si="14"/>
        <v>62.9</v>
      </c>
      <c r="F34" s="34">
        <f t="shared" si="14"/>
        <v>629.1999999999999</v>
      </c>
      <c r="G34" s="34">
        <f t="shared" si="14"/>
        <v>566.3</v>
      </c>
      <c r="H34" s="34">
        <f t="shared" si="14"/>
        <v>62.9</v>
      </c>
      <c r="I34" s="34">
        <f t="shared" si="14"/>
        <v>100</v>
      </c>
      <c r="J34" s="34">
        <f t="shared" si="14"/>
        <v>100</v>
      </c>
      <c r="K34" s="40"/>
      <c r="L34" s="50"/>
      <c r="M34" s="50"/>
    </row>
    <row r="35" spans="1:13" s="28" customFormat="1" ht="46.5">
      <c r="A35" s="8"/>
      <c r="B35" s="4" t="s">
        <v>151</v>
      </c>
      <c r="C35" s="109">
        <f>D35+E35</f>
        <v>629.1999999999999</v>
      </c>
      <c r="D35" s="10">
        <f>'все краевые '!D80</f>
        <v>566.3</v>
      </c>
      <c r="E35" s="10">
        <f>'все краевые '!E80</f>
        <v>62.9</v>
      </c>
      <c r="F35" s="109">
        <f>G35+H35</f>
        <v>629.1999999999999</v>
      </c>
      <c r="G35" s="13">
        <f>'все краевые '!G80</f>
        <v>566.3</v>
      </c>
      <c r="H35" s="11">
        <f>'все краевые '!H80</f>
        <v>62.9</v>
      </c>
      <c r="I35" s="79">
        <f>SUM(G35/D35*100)</f>
        <v>100</v>
      </c>
      <c r="J35" s="79">
        <f>SUM(H35/E35*100)</f>
        <v>100</v>
      </c>
      <c r="K35" s="10"/>
      <c r="L35" s="50"/>
      <c r="M35" s="50"/>
    </row>
    <row r="36" spans="1:11" ht="15">
      <c r="A36" s="49" t="s">
        <v>4</v>
      </c>
      <c r="B36" s="44" t="s">
        <v>24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35">
        <v>0</v>
      </c>
      <c r="J36" s="35">
        <v>0</v>
      </c>
      <c r="K36" s="91"/>
    </row>
    <row r="37" spans="1:11" ht="15">
      <c r="A37" s="49" t="s">
        <v>5</v>
      </c>
      <c r="B37" s="44" t="s">
        <v>25</v>
      </c>
      <c r="C37" s="41">
        <f aca="true" t="shared" si="15" ref="C37:H38">C38</f>
        <v>819.2</v>
      </c>
      <c r="D37" s="41">
        <f t="shared" si="15"/>
        <v>679.9</v>
      </c>
      <c r="E37" s="41">
        <f t="shared" si="15"/>
        <v>139.3</v>
      </c>
      <c r="F37" s="41">
        <f t="shared" si="15"/>
        <v>819.2</v>
      </c>
      <c r="G37" s="41">
        <f t="shared" si="15"/>
        <v>679.9</v>
      </c>
      <c r="H37" s="41">
        <f t="shared" si="15"/>
        <v>139.3</v>
      </c>
      <c r="I37" s="35">
        <v>0</v>
      </c>
      <c r="J37" s="35">
        <v>0</v>
      </c>
      <c r="K37" s="91"/>
    </row>
    <row r="38" spans="1:13" s="28" customFormat="1" ht="15">
      <c r="A38" s="33" t="s">
        <v>139</v>
      </c>
      <c r="B38" s="39" t="s">
        <v>13</v>
      </c>
      <c r="C38" s="40">
        <f t="shared" si="15"/>
        <v>819.2</v>
      </c>
      <c r="D38" s="40">
        <f t="shared" si="15"/>
        <v>679.9</v>
      </c>
      <c r="E38" s="40">
        <f t="shared" si="15"/>
        <v>139.3</v>
      </c>
      <c r="F38" s="34">
        <f t="shared" si="15"/>
        <v>819.2</v>
      </c>
      <c r="G38" s="34">
        <f t="shared" si="15"/>
        <v>679.9</v>
      </c>
      <c r="H38" s="34">
        <f t="shared" si="15"/>
        <v>139.3</v>
      </c>
      <c r="I38" s="34">
        <f>I39</f>
        <v>100</v>
      </c>
      <c r="J38" s="34">
        <f>J39</f>
        <v>100</v>
      </c>
      <c r="K38" s="40"/>
      <c r="L38" s="50"/>
      <c r="M38" s="50"/>
    </row>
    <row r="39" spans="1:13" s="28" customFormat="1" ht="46.5">
      <c r="A39" s="8"/>
      <c r="B39" s="4" t="s">
        <v>151</v>
      </c>
      <c r="C39" s="109">
        <f>D39+E39</f>
        <v>819.2</v>
      </c>
      <c r="D39" s="10">
        <f>'все краевые '!D94</f>
        <v>679.9</v>
      </c>
      <c r="E39" s="10">
        <f>'все краевые '!E94</f>
        <v>139.3</v>
      </c>
      <c r="F39" s="109">
        <f>G39+H39</f>
        <v>819.2</v>
      </c>
      <c r="G39" s="10">
        <f>'все краевые '!G94</f>
        <v>679.9</v>
      </c>
      <c r="H39" s="11">
        <f>'все краевые '!H94</f>
        <v>139.3</v>
      </c>
      <c r="I39" s="79">
        <f>SUM(G39/D39*100)</f>
        <v>100</v>
      </c>
      <c r="J39" s="79">
        <f>SUM(H39/E39*100)</f>
        <v>100</v>
      </c>
      <c r="K39" s="10"/>
      <c r="L39" s="50"/>
      <c r="M39" s="50"/>
    </row>
    <row r="40" spans="1:11" ht="16.5" customHeight="1">
      <c r="A40" s="49" t="s">
        <v>6</v>
      </c>
      <c r="B40" s="44" t="s">
        <v>27</v>
      </c>
      <c r="C40" s="41">
        <f aca="true" t="shared" si="16" ref="C40:H41">C41</f>
        <v>853.4</v>
      </c>
      <c r="D40" s="41">
        <f t="shared" si="16"/>
        <v>703.4</v>
      </c>
      <c r="E40" s="41">
        <f t="shared" si="16"/>
        <v>150</v>
      </c>
      <c r="F40" s="41">
        <f t="shared" si="16"/>
        <v>0</v>
      </c>
      <c r="G40" s="41">
        <f t="shared" si="16"/>
        <v>0</v>
      </c>
      <c r="H40" s="41">
        <f t="shared" si="16"/>
        <v>0</v>
      </c>
      <c r="I40" s="35">
        <v>0</v>
      </c>
      <c r="J40" s="35">
        <v>0</v>
      </c>
      <c r="K40" s="91"/>
    </row>
    <row r="41" spans="1:13" s="28" customFormat="1" ht="15">
      <c r="A41" s="33" t="s">
        <v>139</v>
      </c>
      <c r="B41" s="39" t="s">
        <v>13</v>
      </c>
      <c r="C41" s="40">
        <f t="shared" si="16"/>
        <v>853.4</v>
      </c>
      <c r="D41" s="40">
        <f t="shared" si="16"/>
        <v>703.4</v>
      </c>
      <c r="E41" s="40">
        <f t="shared" si="16"/>
        <v>150</v>
      </c>
      <c r="F41" s="34">
        <f t="shared" si="16"/>
        <v>0</v>
      </c>
      <c r="G41" s="34">
        <f t="shared" si="16"/>
        <v>0</v>
      </c>
      <c r="H41" s="34">
        <f t="shared" si="16"/>
        <v>0</v>
      </c>
      <c r="I41" s="34">
        <f>I42</f>
        <v>0</v>
      </c>
      <c r="J41" s="34">
        <f>J42</f>
        <v>0</v>
      </c>
      <c r="K41" s="40"/>
      <c r="L41" s="50"/>
      <c r="M41" s="50"/>
    </row>
    <row r="42" spans="1:13" s="28" customFormat="1" ht="46.5">
      <c r="A42" s="8"/>
      <c r="B42" s="4" t="s">
        <v>151</v>
      </c>
      <c r="C42" s="109">
        <f>D42+E42</f>
        <v>853.4</v>
      </c>
      <c r="D42" s="10">
        <f>'все краевые '!D102</f>
        <v>703.4</v>
      </c>
      <c r="E42" s="10">
        <f>'все краевые '!E102</f>
        <v>150</v>
      </c>
      <c r="F42" s="109">
        <f>G42+H42</f>
        <v>0</v>
      </c>
      <c r="G42" s="13"/>
      <c r="H42" s="11"/>
      <c r="I42" s="79">
        <f>SUM(G42/D42*100)</f>
        <v>0</v>
      </c>
      <c r="J42" s="79">
        <f>SUM(H42/E42*100)</f>
        <v>0</v>
      </c>
      <c r="K42" s="10"/>
      <c r="L42" s="50"/>
      <c r="M42" s="50"/>
    </row>
    <row r="43" spans="1:11" ht="15">
      <c r="A43" s="49" t="s">
        <v>8</v>
      </c>
      <c r="B43" s="44" t="s">
        <v>79</v>
      </c>
      <c r="C43" s="41">
        <f>C44+C46+C48</f>
        <v>8186.900000000001</v>
      </c>
      <c r="D43" s="41">
        <f aca="true" t="shared" si="17" ref="D43:I43">D44+D46+D48</f>
        <v>7615.599999999999</v>
      </c>
      <c r="E43" s="41">
        <f t="shared" si="17"/>
        <v>571.3</v>
      </c>
      <c r="F43" s="41">
        <f t="shared" si="17"/>
        <v>0</v>
      </c>
      <c r="G43" s="41">
        <f t="shared" si="17"/>
        <v>0</v>
      </c>
      <c r="H43" s="41">
        <f t="shared" si="17"/>
        <v>0</v>
      </c>
      <c r="I43" s="41">
        <f t="shared" si="17"/>
        <v>0</v>
      </c>
      <c r="J43" s="35">
        <v>0</v>
      </c>
      <c r="K43" s="91"/>
    </row>
    <row r="44" spans="1:13" s="28" customFormat="1" ht="15">
      <c r="A44" s="58" t="s">
        <v>101</v>
      </c>
      <c r="B44" s="39" t="s">
        <v>13</v>
      </c>
      <c r="C44" s="40">
        <f>C45</f>
        <v>667</v>
      </c>
      <c r="D44" s="34">
        <f aca="true" t="shared" si="18" ref="D44:I44">D45</f>
        <v>546.9</v>
      </c>
      <c r="E44" s="34">
        <f t="shared" si="18"/>
        <v>120.1</v>
      </c>
      <c r="F44" s="34">
        <f t="shared" si="18"/>
        <v>0</v>
      </c>
      <c r="G44" s="34">
        <f t="shared" si="18"/>
        <v>0</v>
      </c>
      <c r="H44" s="34">
        <f t="shared" si="18"/>
        <v>0</v>
      </c>
      <c r="I44" s="34">
        <f t="shared" si="18"/>
        <v>0</v>
      </c>
      <c r="J44" s="40"/>
      <c r="K44" s="40"/>
      <c r="L44" s="50"/>
      <c r="M44" s="50"/>
    </row>
    <row r="45" spans="1:13" s="28" customFormat="1" ht="46.5">
      <c r="A45" s="59"/>
      <c r="B45" s="4" t="s">
        <v>151</v>
      </c>
      <c r="C45" s="109">
        <f>D45+E45</f>
        <v>667</v>
      </c>
      <c r="D45" s="10">
        <f>'все краевые '!D110</f>
        <v>546.9</v>
      </c>
      <c r="E45" s="11">
        <f>'все краевые '!E110</f>
        <v>120.1</v>
      </c>
      <c r="F45" s="109">
        <f>G45+H45</f>
        <v>0</v>
      </c>
      <c r="G45" s="13"/>
      <c r="H45" s="10"/>
      <c r="I45" s="79">
        <f>SUM(G45/D45*100)</f>
        <v>0</v>
      </c>
      <c r="J45" s="79">
        <f>SUM(H45/E45*100)</f>
        <v>0</v>
      </c>
      <c r="K45" s="10"/>
      <c r="L45" s="50"/>
      <c r="M45" s="50"/>
    </row>
    <row r="46" spans="1:13" s="28" customFormat="1" ht="30.75">
      <c r="A46" s="58" t="s">
        <v>142</v>
      </c>
      <c r="B46" s="75" t="s">
        <v>167</v>
      </c>
      <c r="C46" s="40">
        <f>C47</f>
        <v>6837.8</v>
      </c>
      <c r="D46" s="40">
        <f aca="true" t="shared" si="19" ref="D46:I48">D47</f>
        <v>6427.5</v>
      </c>
      <c r="E46" s="40">
        <f t="shared" si="19"/>
        <v>410.3</v>
      </c>
      <c r="F46" s="40">
        <f t="shared" si="19"/>
        <v>0</v>
      </c>
      <c r="G46" s="40">
        <f t="shared" si="19"/>
        <v>0</v>
      </c>
      <c r="H46" s="40">
        <f t="shared" si="19"/>
        <v>0</v>
      </c>
      <c r="I46" s="40">
        <f t="shared" si="19"/>
        <v>0</v>
      </c>
      <c r="J46" s="40"/>
      <c r="K46" s="42"/>
      <c r="L46" s="50"/>
      <c r="M46" s="50"/>
    </row>
    <row r="47" spans="1:13" s="28" customFormat="1" ht="30.75">
      <c r="A47" s="8"/>
      <c r="B47" s="1" t="s">
        <v>152</v>
      </c>
      <c r="C47" s="109">
        <f>D47+E47</f>
        <v>6837.8</v>
      </c>
      <c r="D47" s="10">
        <f>'все краевые '!D112</f>
        <v>6427.5</v>
      </c>
      <c r="E47" s="11">
        <f>'все краевые '!E112</f>
        <v>410.3</v>
      </c>
      <c r="F47" s="109">
        <f>G47+H47</f>
        <v>0</v>
      </c>
      <c r="G47" s="13"/>
      <c r="H47" s="10"/>
      <c r="I47" s="79">
        <f>SUM(G47/D47*100)</f>
        <v>0</v>
      </c>
      <c r="J47" s="79">
        <f>SUM(H47/E47*100)</f>
        <v>0</v>
      </c>
      <c r="K47" s="10"/>
      <c r="L47" s="50"/>
      <c r="M47" s="50"/>
    </row>
    <row r="48" spans="1:13" s="28" customFormat="1" ht="30.75">
      <c r="A48" s="58" t="s">
        <v>175</v>
      </c>
      <c r="B48" s="39" t="s">
        <v>176</v>
      </c>
      <c r="C48" s="40">
        <f>C49</f>
        <v>682.1</v>
      </c>
      <c r="D48" s="40">
        <f t="shared" si="19"/>
        <v>641.2</v>
      </c>
      <c r="E48" s="40">
        <f t="shared" si="19"/>
        <v>40.9</v>
      </c>
      <c r="F48" s="40">
        <f t="shared" si="19"/>
        <v>0</v>
      </c>
      <c r="G48" s="40">
        <f t="shared" si="19"/>
        <v>0</v>
      </c>
      <c r="H48" s="40">
        <f t="shared" si="19"/>
        <v>0</v>
      </c>
      <c r="I48" s="40">
        <f t="shared" si="19"/>
        <v>0</v>
      </c>
      <c r="J48" s="40"/>
      <c r="K48" s="42"/>
      <c r="L48" s="50"/>
      <c r="M48" s="50"/>
    </row>
    <row r="49" spans="1:13" s="28" customFormat="1" ht="30.75">
      <c r="A49" s="8"/>
      <c r="B49" s="1" t="s">
        <v>177</v>
      </c>
      <c r="C49" s="109">
        <f>D49+E49</f>
        <v>682.1</v>
      </c>
      <c r="D49" s="10">
        <f>'все краевые '!D114</f>
        <v>641.2</v>
      </c>
      <c r="E49" s="11">
        <f>'все краевые '!E114</f>
        <v>40.9</v>
      </c>
      <c r="F49" s="109">
        <f>G49+H49</f>
        <v>0</v>
      </c>
      <c r="G49" s="13"/>
      <c r="H49" s="10"/>
      <c r="I49" s="79">
        <f>SUM(G49/D49*100)</f>
        <v>0</v>
      </c>
      <c r="J49" s="79">
        <f>SUM(H49/E49*100)</f>
        <v>0</v>
      </c>
      <c r="K49" s="10"/>
      <c r="L49" s="50"/>
      <c r="M49" s="50"/>
    </row>
    <row r="50" spans="1:11" ht="15">
      <c r="A50" s="49" t="s">
        <v>9</v>
      </c>
      <c r="B50" s="44" t="s">
        <v>28</v>
      </c>
      <c r="C50" s="41">
        <f aca="true" t="shared" si="20" ref="C50:H50">C51+C53</f>
        <v>20361.8</v>
      </c>
      <c r="D50" s="41">
        <f t="shared" si="20"/>
        <v>17714.8</v>
      </c>
      <c r="E50" s="41">
        <f t="shared" si="20"/>
        <v>2647</v>
      </c>
      <c r="F50" s="41">
        <f t="shared" si="20"/>
        <v>2070</v>
      </c>
      <c r="G50" s="41">
        <f t="shared" si="20"/>
        <v>1800.9</v>
      </c>
      <c r="H50" s="41">
        <f t="shared" si="20"/>
        <v>269.1</v>
      </c>
      <c r="I50" s="35">
        <v>0</v>
      </c>
      <c r="J50" s="35">
        <v>0</v>
      </c>
      <c r="K50" s="91"/>
    </row>
    <row r="51" spans="1:13" s="28" customFormat="1" ht="30.75">
      <c r="A51" s="51" t="s">
        <v>37</v>
      </c>
      <c r="B51" s="55" t="s">
        <v>137</v>
      </c>
      <c r="C51" s="40">
        <f aca="true" t="shared" si="21" ref="C51:H51">C52</f>
        <v>18291.8</v>
      </c>
      <c r="D51" s="34">
        <f t="shared" si="21"/>
        <v>15913.9</v>
      </c>
      <c r="E51" s="34">
        <f t="shared" si="21"/>
        <v>2377.9</v>
      </c>
      <c r="F51" s="40">
        <f t="shared" si="21"/>
        <v>0</v>
      </c>
      <c r="G51" s="34">
        <f t="shared" si="21"/>
        <v>0</v>
      </c>
      <c r="H51" s="34">
        <f t="shared" si="21"/>
        <v>0</v>
      </c>
      <c r="I51" s="34">
        <f aca="true" t="shared" si="22" ref="I51:J53">I52</f>
        <v>0</v>
      </c>
      <c r="J51" s="34">
        <f t="shared" si="22"/>
        <v>0</v>
      </c>
      <c r="K51" s="34"/>
      <c r="L51" s="50"/>
      <c r="M51" s="50"/>
    </row>
    <row r="52" spans="1:13" s="28" customFormat="1" ht="15">
      <c r="A52" s="56"/>
      <c r="B52" s="57" t="s">
        <v>138</v>
      </c>
      <c r="C52" s="109">
        <f>D52+E52</f>
        <v>18291.8</v>
      </c>
      <c r="D52" s="10">
        <f>'все краевые '!D122</f>
        <v>15913.9</v>
      </c>
      <c r="E52" s="11">
        <f>'все краевые '!E122</f>
        <v>2377.9</v>
      </c>
      <c r="F52" s="109">
        <f>G52+H52</f>
        <v>0</v>
      </c>
      <c r="G52" s="13"/>
      <c r="H52" s="11"/>
      <c r="I52" s="79">
        <f>SUM(G52/D52*100)</f>
        <v>0</v>
      </c>
      <c r="J52" s="79">
        <f>SUM(H52/E52*100)</f>
        <v>0</v>
      </c>
      <c r="K52" s="10"/>
      <c r="L52" s="50"/>
      <c r="M52" s="50"/>
    </row>
    <row r="53" spans="1:13" s="28" customFormat="1" ht="15">
      <c r="A53" s="51" t="s">
        <v>150</v>
      </c>
      <c r="B53" s="39" t="s">
        <v>13</v>
      </c>
      <c r="C53" s="40">
        <f aca="true" t="shared" si="23" ref="C53:H53">C54</f>
        <v>2070</v>
      </c>
      <c r="D53" s="40">
        <f t="shared" si="23"/>
        <v>1800.9</v>
      </c>
      <c r="E53" s="40">
        <f t="shared" si="23"/>
        <v>269.1</v>
      </c>
      <c r="F53" s="40">
        <f t="shared" si="23"/>
        <v>2070</v>
      </c>
      <c r="G53" s="40">
        <f t="shared" si="23"/>
        <v>1800.9</v>
      </c>
      <c r="H53" s="40">
        <f t="shared" si="23"/>
        <v>269.1</v>
      </c>
      <c r="I53" s="34">
        <f t="shared" si="22"/>
        <v>100</v>
      </c>
      <c r="J53" s="34">
        <f t="shared" si="22"/>
        <v>100</v>
      </c>
      <c r="K53" s="34"/>
      <c r="L53" s="50"/>
      <c r="M53" s="50"/>
    </row>
    <row r="54" spans="1:13" s="28" customFormat="1" ht="46.5">
      <c r="A54" s="8"/>
      <c r="B54" s="2" t="s">
        <v>151</v>
      </c>
      <c r="C54" s="109">
        <f>D54+E54</f>
        <v>2070</v>
      </c>
      <c r="D54" s="10">
        <f>'все краевые '!D124</f>
        <v>1800.9</v>
      </c>
      <c r="E54" s="11">
        <f>'все краевые '!E124</f>
        <v>269.1</v>
      </c>
      <c r="F54" s="109">
        <f>G54+H54</f>
        <v>2070</v>
      </c>
      <c r="G54" s="13">
        <f>'все краевые '!G124</f>
        <v>1800.9</v>
      </c>
      <c r="H54" s="11">
        <f>'все краевые '!H124</f>
        <v>269.1</v>
      </c>
      <c r="I54" s="79">
        <f>SUM(G54/D54*100)</f>
        <v>100</v>
      </c>
      <c r="J54" s="79">
        <f>SUM(H54/E54*100)</f>
        <v>100</v>
      </c>
      <c r="K54" s="10"/>
      <c r="L54" s="50"/>
      <c r="M54" s="50"/>
    </row>
    <row r="55" spans="1:11" ht="15">
      <c r="A55" s="49" t="s">
        <v>10</v>
      </c>
      <c r="B55" s="44" t="s">
        <v>30</v>
      </c>
      <c r="C55" s="41">
        <f>C56</f>
        <v>10942.4</v>
      </c>
      <c r="D55" s="41">
        <f aca="true" t="shared" si="24" ref="D55:I55">D56</f>
        <v>10614.1</v>
      </c>
      <c r="E55" s="41">
        <f t="shared" si="24"/>
        <v>328.3</v>
      </c>
      <c r="F55" s="41">
        <f t="shared" si="24"/>
        <v>0</v>
      </c>
      <c r="G55" s="41">
        <f t="shared" si="24"/>
        <v>0</v>
      </c>
      <c r="H55" s="41">
        <f t="shared" si="24"/>
        <v>0</v>
      </c>
      <c r="I55" s="41">
        <f t="shared" si="24"/>
        <v>0</v>
      </c>
      <c r="J55" s="35">
        <v>0</v>
      </c>
      <c r="K55" s="91"/>
    </row>
    <row r="56" spans="1:13" s="28" customFormat="1" ht="30.75">
      <c r="A56" s="51" t="s">
        <v>150</v>
      </c>
      <c r="B56" s="65" t="s">
        <v>46</v>
      </c>
      <c r="C56" s="40">
        <f aca="true" t="shared" si="25" ref="C56:J56">C57</f>
        <v>10942.4</v>
      </c>
      <c r="D56" s="40">
        <f t="shared" si="25"/>
        <v>10614.1</v>
      </c>
      <c r="E56" s="40">
        <f t="shared" si="25"/>
        <v>328.3</v>
      </c>
      <c r="F56" s="40">
        <f t="shared" si="25"/>
        <v>0</v>
      </c>
      <c r="G56" s="40">
        <f t="shared" si="25"/>
        <v>0</v>
      </c>
      <c r="H56" s="40">
        <f t="shared" si="25"/>
        <v>0</v>
      </c>
      <c r="I56" s="34">
        <f t="shared" si="25"/>
        <v>0</v>
      </c>
      <c r="J56" s="34">
        <f t="shared" si="25"/>
        <v>0</v>
      </c>
      <c r="K56" s="34"/>
      <c r="L56" s="50"/>
      <c r="M56" s="50"/>
    </row>
    <row r="57" spans="1:13" s="28" customFormat="1" ht="15">
      <c r="A57" s="8"/>
      <c r="B57" s="2" t="s">
        <v>111</v>
      </c>
      <c r="C57" s="109">
        <f>D57+E57</f>
        <v>10942.4</v>
      </c>
      <c r="D57" s="10">
        <f>'все краевые '!D133</f>
        <v>10614.1</v>
      </c>
      <c r="E57" s="10">
        <f>'все краевые '!E133</f>
        <v>328.3</v>
      </c>
      <c r="F57" s="109">
        <f>G57+H57</f>
        <v>0</v>
      </c>
      <c r="G57" s="13"/>
      <c r="H57" s="11">
        <f>'все краевые '!H122</f>
        <v>0</v>
      </c>
      <c r="I57" s="79">
        <f>SUM(G57/D57*100)</f>
        <v>0</v>
      </c>
      <c r="J57" s="79">
        <f>SUM(H57/E57*100)</f>
        <v>0</v>
      </c>
      <c r="K57" s="10"/>
      <c r="L57" s="50"/>
      <c r="M57" s="50"/>
    </row>
    <row r="58" spans="1:11" ht="15">
      <c r="A58" s="49" t="s">
        <v>11</v>
      </c>
      <c r="B58" s="44" t="s">
        <v>31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35">
        <v>0</v>
      </c>
      <c r="J58" s="35">
        <v>0</v>
      </c>
      <c r="K58" s="91"/>
    </row>
    <row r="59" spans="1:11" ht="15">
      <c r="A59" s="49" t="s">
        <v>12</v>
      </c>
      <c r="B59" s="44" t="s">
        <v>32</v>
      </c>
      <c r="C59" s="41">
        <f>C60</f>
        <v>22411.899999999998</v>
      </c>
      <c r="D59" s="41">
        <f aca="true" t="shared" si="26" ref="D59:I59">D60</f>
        <v>21227.1</v>
      </c>
      <c r="E59" s="41">
        <f t="shared" si="26"/>
        <v>1184.8</v>
      </c>
      <c r="F59" s="41">
        <f t="shared" si="26"/>
        <v>0</v>
      </c>
      <c r="G59" s="41">
        <f t="shared" si="26"/>
        <v>0</v>
      </c>
      <c r="H59" s="41">
        <f t="shared" si="26"/>
        <v>0</v>
      </c>
      <c r="I59" s="41">
        <f t="shared" si="26"/>
        <v>0</v>
      </c>
      <c r="J59" s="35">
        <v>0</v>
      </c>
      <c r="K59" s="91"/>
    </row>
    <row r="60" spans="1:13" s="28" customFormat="1" ht="30.75">
      <c r="A60" s="51" t="s">
        <v>150</v>
      </c>
      <c r="B60" s="65" t="s">
        <v>46</v>
      </c>
      <c r="C60" s="40">
        <f aca="true" t="shared" si="27" ref="C60:J60">C61</f>
        <v>22411.899999999998</v>
      </c>
      <c r="D60" s="40">
        <f t="shared" si="27"/>
        <v>21227.1</v>
      </c>
      <c r="E60" s="40">
        <f t="shared" si="27"/>
        <v>1184.8</v>
      </c>
      <c r="F60" s="40">
        <f t="shared" si="27"/>
        <v>0</v>
      </c>
      <c r="G60" s="40">
        <f t="shared" si="27"/>
        <v>0</v>
      </c>
      <c r="H60" s="40">
        <f t="shared" si="27"/>
        <v>0</v>
      </c>
      <c r="I60" s="34">
        <f t="shared" si="27"/>
        <v>0</v>
      </c>
      <c r="J60" s="34">
        <f t="shared" si="27"/>
        <v>0</v>
      </c>
      <c r="K60" s="34"/>
      <c r="L60" s="50"/>
      <c r="M60" s="50"/>
    </row>
    <row r="61" spans="1:13" s="28" customFormat="1" ht="15">
      <c r="A61" s="8"/>
      <c r="B61" s="2" t="s">
        <v>111</v>
      </c>
      <c r="C61" s="109">
        <f>D61+E61</f>
        <v>22411.899999999998</v>
      </c>
      <c r="D61" s="10">
        <f>'все краевые '!D148</f>
        <v>21227.1</v>
      </c>
      <c r="E61" s="10">
        <f>'все краевые '!E148</f>
        <v>1184.8</v>
      </c>
      <c r="F61" s="109">
        <f>G61+H61</f>
        <v>0</v>
      </c>
      <c r="G61" s="13"/>
      <c r="H61" s="11">
        <f>'все краевые '!H126</f>
        <v>0</v>
      </c>
      <c r="I61" s="79">
        <f aca="true" t="shared" si="28" ref="I61:J63">SUM(G61/D61*100)</f>
        <v>0</v>
      </c>
      <c r="J61" s="79">
        <f t="shared" si="28"/>
        <v>0</v>
      </c>
      <c r="K61" s="10"/>
      <c r="L61" s="50"/>
      <c r="M61" s="50"/>
    </row>
    <row r="62" spans="1:11" s="93" customFormat="1" ht="15">
      <c r="A62" s="49"/>
      <c r="B62" s="84" t="s">
        <v>35</v>
      </c>
      <c r="C62" s="15">
        <f aca="true" t="shared" si="29" ref="C62:H62">C26+C36+C37+C40+C43+C50+C55+C58+C59</f>
        <v>169641.89999999997</v>
      </c>
      <c r="D62" s="15">
        <f t="shared" si="29"/>
        <v>151026.4</v>
      </c>
      <c r="E62" s="15">
        <f t="shared" si="29"/>
        <v>18615.499999999993</v>
      </c>
      <c r="F62" s="15">
        <f t="shared" si="29"/>
        <v>3518.4</v>
      </c>
      <c r="G62" s="15">
        <f t="shared" si="29"/>
        <v>3047.1</v>
      </c>
      <c r="H62" s="15">
        <f t="shared" si="29"/>
        <v>471.30000000000007</v>
      </c>
      <c r="I62" s="35">
        <f t="shared" si="28"/>
        <v>2.017594274908228</v>
      </c>
      <c r="J62" s="35">
        <f t="shared" si="28"/>
        <v>2.5317611667696287</v>
      </c>
      <c r="K62" s="92"/>
    </row>
    <row r="63" spans="1:11" ht="15">
      <c r="A63" s="95"/>
      <c r="B63" s="45" t="s">
        <v>33</v>
      </c>
      <c r="C63" s="17">
        <f aca="true" t="shared" si="30" ref="C63:H63">C62+C6</f>
        <v>736468</v>
      </c>
      <c r="D63" s="17">
        <f t="shared" si="30"/>
        <v>697206.0000000001</v>
      </c>
      <c r="E63" s="17">
        <f t="shared" si="30"/>
        <v>39261.99999999999</v>
      </c>
      <c r="F63" s="17">
        <f t="shared" si="30"/>
        <v>52501.4</v>
      </c>
      <c r="G63" s="17">
        <f t="shared" si="30"/>
        <v>48336.2</v>
      </c>
      <c r="H63" s="17">
        <f t="shared" si="30"/>
        <v>4165.2</v>
      </c>
      <c r="I63" s="12">
        <f t="shared" si="28"/>
        <v>6.932843377710459</v>
      </c>
      <c r="J63" s="12">
        <f t="shared" si="28"/>
        <v>10.608731088584383</v>
      </c>
      <c r="K63" s="91"/>
    </row>
    <row r="64" spans="4:10" ht="15">
      <c r="D64" s="96"/>
      <c r="E64" s="96"/>
      <c r="F64" s="113"/>
      <c r="G64" s="96"/>
      <c r="H64" s="96"/>
      <c r="I64" s="96"/>
      <c r="J64" s="96"/>
    </row>
    <row r="66" ht="15">
      <c r="D66" s="31"/>
    </row>
    <row r="67" ht="15">
      <c r="D67" s="31"/>
    </row>
    <row r="69" ht="15">
      <c r="D69" s="31"/>
    </row>
  </sheetData>
  <sheetProtection/>
  <autoFilter ref="A6:K6"/>
  <mergeCells count="9">
    <mergeCell ref="C4:E4"/>
    <mergeCell ref="F4:H4"/>
    <mergeCell ref="A1:K1"/>
    <mergeCell ref="K3:K5"/>
    <mergeCell ref="A2:J2"/>
    <mergeCell ref="A3:A5"/>
    <mergeCell ref="B3:B5"/>
    <mergeCell ref="I3:J4"/>
    <mergeCell ref="C3:H3"/>
  </mergeCells>
  <printOptions/>
  <pageMargins left="0" right="0" top="0.5905511811023623" bottom="0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EMedyanik</dc:creator>
  <cp:keywords/>
  <dc:description/>
  <cp:lastModifiedBy>Христозова Антонина</cp:lastModifiedBy>
  <cp:lastPrinted>2024-01-30T14:05:29Z</cp:lastPrinted>
  <dcterms:created xsi:type="dcterms:W3CDTF">2014-06-05T11:59:38Z</dcterms:created>
  <dcterms:modified xsi:type="dcterms:W3CDTF">2024-04-02T15:00:32Z</dcterms:modified>
  <cp:category/>
  <cp:version/>
  <cp:contentType/>
  <cp:contentStatus/>
</cp:coreProperties>
</file>